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Etheses\Thesis full text files\"/>
    </mc:Choice>
  </mc:AlternateContent>
  <bookViews>
    <workbookView xWindow="0" yWindow="0" windowWidth="28800" windowHeight="12300"/>
  </bookViews>
  <sheets>
    <sheet name="All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0" i="1" l="1"/>
  <c r="V169" i="1" l="1"/>
  <c r="U169" i="1"/>
  <c r="S169" i="1"/>
  <c r="M169" i="1"/>
  <c r="T169" i="1" s="1"/>
  <c r="D169" i="1"/>
  <c r="V167" i="1"/>
  <c r="U167" i="1"/>
  <c r="S167" i="1"/>
  <c r="M167" i="1"/>
  <c r="T167" i="1" s="1"/>
  <c r="D167" i="1"/>
  <c r="V166" i="1"/>
  <c r="U166" i="1"/>
  <c r="S166" i="1"/>
  <c r="M166" i="1"/>
  <c r="T166" i="1" s="1"/>
  <c r="C166" i="1"/>
  <c r="V165" i="1"/>
  <c r="U165" i="1"/>
  <c r="S165" i="1"/>
  <c r="M165" i="1"/>
  <c r="T165" i="1" s="1"/>
  <c r="D165" i="1"/>
  <c r="V163" i="1"/>
  <c r="U163" i="1"/>
  <c r="S163" i="1"/>
  <c r="M163" i="1"/>
  <c r="T163" i="1" s="1"/>
  <c r="D163" i="1"/>
  <c r="V162" i="1"/>
  <c r="U162" i="1"/>
  <c r="S162" i="1"/>
  <c r="M162" i="1"/>
  <c r="T162" i="1" s="1"/>
  <c r="D162" i="1"/>
  <c r="V160" i="1"/>
  <c r="U160" i="1"/>
  <c r="S160" i="1"/>
  <c r="M160" i="1"/>
  <c r="T160" i="1" s="1"/>
  <c r="V159" i="1"/>
  <c r="U159" i="1"/>
  <c r="S159" i="1"/>
  <c r="M159" i="1"/>
  <c r="T159" i="1" s="1"/>
  <c r="C159" i="1"/>
  <c r="V158" i="1"/>
  <c r="U158" i="1"/>
  <c r="S158" i="1"/>
  <c r="M158" i="1"/>
  <c r="T158" i="1" s="1"/>
  <c r="D158" i="1"/>
  <c r="V157" i="1"/>
  <c r="U157" i="1"/>
  <c r="S157" i="1"/>
  <c r="M157" i="1"/>
  <c r="T157" i="1" s="1"/>
  <c r="D157" i="1"/>
  <c r="V155" i="1"/>
  <c r="U155" i="1"/>
  <c r="T155" i="1"/>
  <c r="S155" i="1"/>
  <c r="M155" i="1"/>
  <c r="C155" i="1"/>
  <c r="V154" i="1"/>
  <c r="U154" i="1"/>
  <c r="S154" i="1"/>
  <c r="M154" i="1"/>
  <c r="T154" i="1" s="1"/>
  <c r="C154" i="1"/>
  <c r="V151" i="1"/>
  <c r="U151" i="1"/>
  <c r="T151" i="1"/>
  <c r="S151" i="1"/>
  <c r="D151" i="1"/>
  <c r="V150" i="1"/>
  <c r="U150" i="1"/>
  <c r="T150" i="1"/>
  <c r="S150" i="1"/>
  <c r="D150" i="1"/>
  <c r="V149" i="1"/>
  <c r="U149" i="1"/>
  <c r="T149" i="1"/>
  <c r="S149" i="1"/>
  <c r="D149" i="1"/>
  <c r="V148" i="1"/>
  <c r="U148" i="1"/>
  <c r="T148" i="1"/>
  <c r="S148" i="1"/>
  <c r="D148" i="1"/>
  <c r="V146" i="1"/>
  <c r="U146" i="1"/>
  <c r="T146" i="1"/>
  <c r="S146" i="1"/>
  <c r="D146" i="1"/>
  <c r="V145" i="1"/>
  <c r="U145" i="1"/>
  <c r="T145" i="1"/>
  <c r="S145" i="1"/>
  <c r="D145" i="1"/>
  <c r="V144" i="1"/>
  <c r="U144" i="1"/>
  <c r="T144" i="1"/>
  <c r="S144" i="1"/>
  <c r="D144" i="1"/>
  <c r="V142" i="1"/>
  <c r="U142" i="1"/>
  <c r="T142" i="1"/>
  <c r="S142" i="1"/>
  <c r="D142" i="1"/>
  <c r="V141" i="1"/>
  <c r="U141" i="1"/>
  <c r="T141" i="1"/>
  <c r="S141" i="1"/>
  <c r="D141" i="1"/>
  <c r="V140" i="1"/>
  <c r="U140" i="1"/>
  <c r="T140" i="1"/>
  <c r="S140" i="1"/>
  <c r="D140" i="1"/>
  <c r="V139" i="1"/>
  <c r="U139" i="1"/>
  <c r="T139" i="1"/>
  <c r="S139" i="1"/>
  <c r="D139" i="1"/>
  <c r="V135" i="1"/>
  <c r="U135" i="1"/>
  <c r="S135" i="1"/>
  <c r="M135" i="1"/>
  <c r="T135" i="1" s="1"/>
  <c r="V129" i="1"/>
  <c r="U129" i="1"/>
  <c r="S129" i="1"/>
  <c r="M129" i="1"/>
  <c r="T129" i="1" s="1"/>
  <c r="V126" i="1"/>
  <c r="U126" i="1"/>
  <c r="S126" i="1"/>
  <c r="M126" i="1"/>
  <c r="T126" i="1" s="1"/>
  <c r="V123" i="1"/>
  <c r="U123" i="1"/>
  <c r="S123" i="1"/>
  <c r="M123" i="1"/>
  <c r="T123" i="1" s="1"/>
  <c r="V120" i="1"/>
  <c r="U120" i="1"/>
  <c r="S120" i="1"/>
  <c r="M120" i="1"/>
  <c r="T120" i="1" s="1"/>
  <c r="V116" i="1"/>
  <c r="U116" i="1"/>
  <c r="T116" i="1"/>
  <c r="S116" i="1"/>
  <c r="V113" i="1"/>
  <c r="U113" i="1"/>
  <c r="T113" i="1"/>
  <c r="S113" i="1"/>
  <c r="V110" i="1"/>
  <c r="U110" i="1"/>
  <c r="T110" i="1"/>
  <c r="S110" i="1"/>
  <c r="V107" i="1"/>
  <c r="U107" i="1"/>
  <c r="T107" i="1"/>
  <c r="S107" i="1"/>
  <c r="V104" i="1"/>
  <c r="U104" i="1"/>
  <c r="T104" i="1"/>
  <c r="S104" i="1"/>
  <c r="V101" i="1"/>
  <c r="U101" i="1"/>
  <c r="T101" i="1"/>
  <c r="S101" i="1"/>
  <c r="V97" i="1"/>
  <c r="U97" i="1"/>
  <c r="T97" i="1"/>
  <c r="S97" i="1"/>
  <c r="V95" i="1"/>
  <c r="U95" i="1"/>
  <c r="T95" i="1"/>
  <c r="S95" i="1"/>
  <c r="D95" i="1"/>
  <c r="D94" i="1"/>
  <c r="D93" i="1"/>
  <c r="V92" i="1"/>
  <c r="U92" i="1"/>
  <c r="T92" i="1"/>
  <c r="S92" i="1"/>
  <c r="D92" i="1"/>
  <c r="V91" i="1"/>
  <c r="U91" i="1"/>
  <c r="T91" i="1"/>
  <c r="S91" i="1"/>
  <c r="D91" i="1"/>
  <c r="V90" i="1"/>
  <c r="U90" i="1"/>
  <c r="T90" i="1"/>
  <c r="S90" i="1"/>
  <c r="D90" i="1"/>
  <c r="V88" i="1"/>
  <c r="U88" i="1"/>
  <c r="T88" i="1"/>
  <c r="S88" i="1"/>
  <c r="D88" i="1"/>
  <c r="C88" i="1"/>
  <c r="V87" i="1"/>
  <c r="U87" i="1"/>
  <c r="T87" i="1"/>
  <c r="S87" i="1"/>
  <c r="C87" i="1"/>
  <c r="D87" i="1" s="1"/>
  <c r="V86" i="1"/>
  <c r="U86" i="1"/>
  <c r="T86" i="1"/>
  <c r="S86" i="1"/>
  <c r="C86" i="1"/>
  <c r="D86" i="1" s="1"/>
  <c r="V85" i="1"/>
  <c r="U85" i="1"/>
  <c r="T85" i="1"/>
  <c r="S85" i="1"/>
  <c r="C85" i="1"/>
  <c r="D85" i="1" s="1"/>
  <c r="D84" i="1"/>
  <c r="D83" i="1"/>
  <c r="V82" i="1"/>
  <c r="U82" i="1"/>
  <c r="T82" i="1"/>
  <c r="S82" i="1"/>
  <c r="C82" i="1"/>
  <c r="D82" i="1" s="1"/>
  <c r="V80" i="1"/>
  <c r="U80" i="1"/>
  <c r="T80" i="1"/>
  <c r="S80" i="1"/>
  <c r="D80" i="1"/>
  <c r="V79" i="1"/>
  <c r="U79" i="1"/>
  <c r="T79" i="1"/>
  <c r="S79" i="1"/>
  <c r="D79" i="1"/>
  <c r="V78" i="1"/>
  <c r="U78" i="1"/>
  <c r="T78" i="1"/>
  <c r="S78" i="1"/>
  <c r="D78" i="1"/>
  <c r="V77" i="1"/>
  <c r="U77" i="1"/>
  <c r="T77" i="1"/>
  <c r="S77" i="1"/>
  <c r="D77" i="1"/>
  <c r="V76" i="1"/>
  <c r="U76" i="1"/>
  <c r="T76" i="1"/>
  <c r="S76" i="1"/>
  <c r="D76" i="1"/>
  <c r="V75" i="1"/>
  <c r="U75" i="1"/>
  <c r="T75" i="1"/>
  <c r="S75" i="1"/>
  <c r="D75" i="1"/>
  <c r="V74" i="1"/>
  <c r="U74" i="1"/>
  <c r="T74" i="1"/>
  <c r="S74" i="1"/>
  <c r="D74" i="1"/>
  <c r="V72" i="1"/>
  <c r="U72" i="1"/>
  <c r="T72" i="1"/>
  <c r="S72" i="1"/>
  <c r="D72" i="1"/>
  <c r="V71" i="1"/>
  <c r="U71" i="1"/>
  <c r="T71" i="1"/>
  <c r="S71" i="1"/>
  <c r="D71" i="1"/>
  <c r="V70" i="1"/>
  <c r="U70" i="1"/>
  <c r="T70" i="1"/>
  <c r="S70" i="1"/>
  <c r="D70" i="1"/>
  <c r="V69" i="1"/>
  <c r="U69" i="1"/>
  <c r="T69" i="1"/>
  <c r="S69" i="1"/>
  <c r="D69" i="1"/>
  <c r="V68" i="1"/>
  <c r="U68" i="1"/>
  <c r="T68" i="1"/>
  <c r="S68" i="1"/>
  <c r="D68" i="1"/>
  <c r="V67" i="1"/>
  <c r="U67" i="1"/>
  <c r="T67" i="1"/>
  <c r="S67" i="1"/>
  <c r="D67" i="1"/>
  <c r="V65" i="1"/>
  <c r="U65" i="1"/>
  <c r="T65" i="1"/>
  <c r="S65" i="1"/>
  <c r="D65" i="1"/>
  <c r="V64" i="1"/>
  <c r="U64" i="1"/>
  <c r="T64" i="1"/>
  <c r="S64" i="1"/>
  <c r="D64" i="1"/>
  <c r="V63" i="1"/>
  <c r="U63" i="1"/>
  <c r="T63" i="1"/>
  <c r="S63" i="1"/>
  <c r="D63" i="1"/>
  <c r="V62" i="1"/>
  <c r="U62" i="1"/>
  <c r="T62" i="1"/>
  <c r="S62" i="1"/>
  <c r="D62" i="1"/>
  <c r="V61" i="1"/>
  <c r="U61" i="1"/>
  <c r="T61" i="1"/>
  <c r="S61" i="1"/>
  <c r="D61" i="1"/>
  <c r="V60" i="1"/>
  <c r="U60" i="1"/>
  <c r="T60" i="1"/>
  <c r="S60" i="1"/>
  <c r="D60" i="1"/>
  <c r="V59" i="1"/>
  <c r="U59" i="1"/>
  <c r="T59" i="1"/>
  <c r="S59" i="1"/>
  <c r="D59" i="1"/>
  <c r="V58" i="1"/>
  <c r="U58" i="1"/>
  <c r="T58" i="1"/>
  <c r="S58" i="1"/>
  <c r="D58" i="1"/>
  <c r="V57" i="1"/>
  <c r="U57" i="1"/>
  <c r="T57" i="1"/>
  <c r="S57" i="1"/>
  <c r="D57" i="1"/>
  <c r="V56" i="1"/>
  <c r="U56" i="1"/>
  <c r="T56" i="1"/>
  <c r="S56" i="1"/>
  <c r="D56" i="1"/>
  <c r="V55" i="1"/>
  <c r="U55" i="1"/>
  <c r="T55" i="1"/>
  <c r="S55" i="1"/>
  <c r="D55" i="1"/>
  <c r="V54" i="1"/>
  <c r="U54" i="1"/>
  <c r="T54" i="1"/>
  <c r="S54" i="1"/>
  <c r="D54" i="1"/>
  <c r="V53" i="1"/>
  <c r="U53" i="1"/>
  <c r="T53" i="1"/>
  <c r="S53" i="1"/>
  <c r="D53" i="1"/>
  <c r="V52" i="1"/>
  <c r="U52" i="1"/>
  <c r="T52" i="1"/>
  <c r="S52" i="1"/>
  <c r="D52" i="1"/>
  <c r="V51" i="1"/>
  <c r="U51" i="1"/>
  <c r="T51" i="1"/>
  <c r="S51" i="1"/>
  <c r="D51" i="1"/>
  <c r="V50" i="1"/>
  <c r="U50" i="1"/>
  <c r="T50" i="1"/>
  <c r="S50" i="1"/>
  <c r="D50" i="1"/>
  <c r="V48" i="1"/>
  <c r="U48" i="1"/>
  <c r="T48" i="1"/>
  <c r="S48" i="1"/>
  <c r="D48" i="1"/>
  <c r="V47" i="1"/>
  <c r="U47" i="1"/>
  <c r="T47" i="1"/>
  <c r="S47" i="1"/>
  <c r="D47" i="1"/>
  <c r="V46" i="1"/>
  <c r="U46" i="1"/>
  <c r="T46" i="1"/>
  <c r="S46" i="1"/>
  <c r="D46" i="1"/>
  <c r="V45" i="1"/>
  <c r="U45" i="1"/>
  <c r="T45" i="1"/>
  <c r="S45" i="1"/>
  <c r="D45" i="1"/>
  <c r="V44" i="1"/>
  <c r="U44" i="1"/>
  <c r="T44" i="1"/>
  <c r="S44" i="1"/>
  <c r="D44" i="1"/>
  <c r="V43" i="1"/>
  <c r="U43" i="1"/>
  <c r="T43" i="1"/>
  <c r="S43" i="1"/>
  <c r="D43" i="1"/>
  <c r="V42" i="1"/>
  <c r="U42" i="1"/>
  <c r="T42" i="1"/>
  <c r="S42" i="1"/>
  <c r="D42" i="1"/>
  <c r="V41" i="1"/>
  <c r="U41" i="1"/>
  <c r="T41" i="1"/>
  <c r="S41" i="1"/>
  <c r="D41" i="1"/>
  <c r="V40" i="1"/>
  <c r="U40" i="1"/>
  <c r="T40" i="1"/>
  <c r="S40" i="1"/>
  <c r="D40" i="1"/>
  <c r="V39" i="1"/>
  <c r="U39" i="1"/>
  <c r="T39" i="1"/>
  <c r="S39" i="1"/>
  <c r="D39" i="1"/>
  <c r="V38" i="1"/>
  <c r="U38" i="1"/>
  <c r="T38" i="1"/>
  <c r="S38" i="1"/>
  <c r="D38" i="1"/>
  <c r="V37" i="1"/>
  <c r="U37" i="1"/>
  <c r="T37" i="1"/>
  <c r="S37" i="1"/>
  <c r="D37" i="1"/>
  <c r="V36" i="1"/>
  <c r="U36" i="1"/>
  <c r="T36" i="1"/>
  <c r="S36" i="1"/>
  <c r="D36" i="1"/>
  <c r="V35" i="1"/>
  <c r="U35" i="1"/>
  <c r="T35" i="1"/>
  <c r="S35" i="1"/>
  <c r="D35" i="1"/>
  <c r="V34" i="1"/>
  <c r="U34" i="1"/>
  <c r="T34" i="1"/>
  <c r="S34" i="1"/>
  <c r="D34" i="1"/>
  <c r="V33" i="1"/>
  <c r="U33" i="1"/>
  <c r="T33" i="1"/>
  <c r="S33" i="1"/>
  <c r="D33" i="1"/>
  <c r="V32" i="1"/>
  <c r="U32" i="1"/>
  <c r="T32" i="1"/>
  <c r="S32" i="1"/>
  <c r="D32" i="1"/>
  <c r="V31" i="1"/>
  <c r="U31" i="1"/>
  <c r="T31" i="1"/>
  <c r="S31" i="1"/>
  <c r="D31" i="1"/>
  <c r="U30" i="1"/>
  <c r="T30" i="1"/>
  <c r="S30" i="1"/>
  <c r="D30" i="1"/>
  <c r="U29" i="1"/>
  <c r="T29" i="1"/>
  <c r="S29" i="1"/>
  <c r="D29" i="1"/>
  <c r="V28" i="1"/>
  <c r="U28" i="1"/>
  <c r="T28" i="1"/>
  <c r="S28" i="1"/>
  <c r="D28" i="1"/>
  <c r="V27" i="1"/>
  <c r="U27" i="1"/>
  <c r="T27" i="1"/>
  <c r="S27" i="1"/>
  <c r="D27" i="1"/>
  <c r="V26" i="1"/>
  <c r="U26" i="1"/>
  <c r="T26" i="1"/>
  <c r="S26" i="1"/>
  <c r="D26" i="1"/>
  <c r="V25" i="1"/>
  <c r="U25" i="1"/>
  <c r="T25" i="1"/>
  <c r="S25" i="1"/>
  <c r="D25" i="1"/>
  <c r="V24" i="1"/>
  <c r="U24" i="1"/>
  <c r="T24" i="1"/>
  <c r="S24" i="1"/>
  <c r="D24" i="1"/>
  <c r="V23" i="1"/>
  <c r="U23" i="1"/>
  <c r="T23" i="1"/>
  <c r="S23" i="1"/>
  <c r="D23" i="1"/>
  <c r="V22" i="1"/>
  <c r="U22" i="1"/>
  <c r="T22" i="1"/>
  <c r="S22" i="1"/>
  <c r="D22" i="1"/>
  <c r="V21" i="1"/>
  <c r="U21" i="1"/>
  <c r="T21" i="1"/>
  <c r="S21" i="1"/>
  <c r="D21" i="1"/>
  <c r="V20" i="1"/>
  <c r="U20" i="1"/>
  <c r="T20" i="1"/>
  <c r="S20" i="1"/>
  <c r="D20" i="1"/>
  <c r="V19" i="1"/>
  <c r="U19" i="1"/>
  <c r="T19" i="1"/>
  <c r="S19" i="1"/>
  <c r="D19" i="1"/>
  <c r="V18" i="1"/>
  <c r="U18" i="1"/>
  <c r="T18" i="1"/>
  <c r="S18" i="1"/>
  <c r="D18" i="1"/>
  <c r="V17" i="1"/>
  <c r="U17" i="1"/>
  <c r="T17" i="1"/>
  <c r="S17" i="1"/>
  <c r="D17" i="1"/>
  <c r="V15" i="1"/>
  <c r="U15" i="1"/>
  <c r="T15" i="1"/>
  <c r="S15" i="1"/>
  <c r="D15" i="1"/>
  <c r="V14" i="1"/>
  <c r="U14" i="1"/>
  <c r="T14" i="1"/>
  <c r="S14" i="1"/>
  <c r="D14" i="1"/>
  <c r="V13" i="1"/>
  <c r="U13" i="1"/>
  <c r="T13" i="1"/>
  <c r="S13" i="1"/>
  <c r="D13" i="1"/>
  <c r="V12" i="1"/>
  <c r="U12" i="1"/>
  <c r="T12" i="1"/>
  <c r="S12" i="1"/>
  <c r="D12" i="1"/>
  <c r="V11" i="1"/>
  <c r="U11" i="1"/>
  <c r="T11" i="1"/>
  <c r="S11" i="1"/>
  <c r="D11" i="1"/>
  <c r="V10" i="1"/>
  <c r="U10" i="1"/>
  <c r="T10" i="1"/>
  <c r="S10" i="1"/>
  <c r="D10" i="1"/>
  <c r="V9" i="1"/>
  <c r="U9" i="1"/>
  <c r="T9" i="1"/>
  <c r="S9" i="1"/>
  <c r="D9" i="1"/>
  <c r="V8" i="1"/>
  <c r="U8" i="1"/>
  <c r="T8" i="1"/>
  <c r="S8" i="1"/>
  <c r="D8" i="1"/>
  <c r="V7" i="1"/>
  <c r="U7" i="1"/>
  <c r="T7" i="1"/>
  <c r="S7" i="1"/>
  <c r="D7" i="1"/>
  <c r="V6" i="1"/>
  <c r="U6" i="1"/>
  <c r="T6" i="1"/>
  <c r="S6" i="1"/>
  <c r="D6" i="1"/>
  <c r="V5" i="1"/>
  <c r="U5" i="1"/>
  <c r="T5" i="1"/>
  <c r="S5" i="1"/>
  <c r="D5" i="1"/>
  <c r="V4" i="1"/>
  <c r="U4" i="1"/>
  <c r="T4" i="1"/>
  <c r="S4" i="1"/>
  <c r="D4" i="1"/>
  <c r="V3" i="1"/>
  <c r="U3" i="1"/>
  <c r="T3" i="1"/>
  <c r="S3" i="1"/>
  <c r="D3" i="1"/>
</calcChain>
</file>

<file path=xl/sharedStrings.xml><?xml version="1.0" encoding="utf-8"?>
<sst xmlns="http://schemas.openxmlformats.org/spreadsheetml/2006/main" count="808" uniqueCount="146">
  <si>
    <t>Well (British National Grid: E, N) (Lat, Long)</t>
  </si>
  <si>
    <t>Sample (SSK)</t>
  </si>
  <si>
    <t>Depth (m)</t>
  </si>
  <si>
    <t>Depth (ft)</t>
  </si>
  <si>
    <t>Series/Stage</t>
  </si>
  <si>
    <t>Rock Unit</t>
  </si>
  <si>
    <t>VR</t>
  </si>
  <si>
    <t>Bench-Top Raman</t>
  </si>
  <si>
    <t>Raman VR</t>
  </si>
  <si>
    <t>Portable Raman</t>
  </si>
  <si>
    <t>Rock-Eval pyrolysis</t>
  </si>
  <si>
    <t>Illite Crystallinity</t>
  </si>
  <si>
    <t>Sample</t>
  </si>
  <si>
    <t>Sample type</t>
  </si>
  <si>
    <t>Location</t>
  </si>
  <si>
    <r>
      <t>(%VR</t>
    </r>
    <r>
      <rPr>
        <b/>
        <vertAlign val="subscript"/>
        <sz val="12"/>
        <color theme="1"/>
        <rFont val="Calibri (Body)"/>
      </rPr>
      <t>o</t>
    </r>
    <r>
      <rPr>
        <b/>
        <sz val="12"/>
        <color theme="1"/>
        <rFont val="Calibri (Body)"/>
      </rPr>
      <t>)</t>
    </r>
  </si>
  <si>
    <t>G-FWHM</t>
  </si>
  <si>
    <r>
      <t xml:space="preserve">1 </t>
    </r>
    <r>
      <rPr>
        <b/>
        <sz val="12"/>
        <color theme="1"/>
        <rFont val="Calibri"/>
        <family val="2"/>
      </rPr>
      <t>σ</t>
    </r>
  </si>
  <si>
    <r>
      <t>SSA (x10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</si>
  <si>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t xml:space="preserve">1 </t>
    </r>
    <r>
      <rPr>
        <b/>
        <sz val="12"/>
        <color theme="1"/>
        <rFont val="Calibri"/>
        <family val="2"/>
      </rPr>
      <t>σ</t>
    </r>
    <r>
      <rPr>
        <b/>
        <sz val="12"/>
        <color theme="1"/>
        <rFont val="Calibri"/>
        <family val="2"/>
        <scheme val="minor"/>
      </rPr>
      <t xml:space="preserve"> (x10</t>
    </r>
    <r>
      <rPr>
        <b/>
        <vertAlign val="super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>)</t>
    </r>
  </si>
  <si>
    <t>R1</t>
  </si>
  <si>
    <t>RBS</t>
  </si>
  <si>
    <t>SSA</t>
  </si>
  <si>
    <t xml:space="preserve">G-FWHM </t>
  </si>
  <si>
    <r>
      <t>T</t>
    </r>
    <r>
      <rPr>
        <b/>
        <vertAlign val="subscript"/>
        <sz val="12"/>
        <color theme="1"/>
        <rFont val="Calibri (Body)"/>
      </rPr>
      <t>max</t>
    </r>
    <r>
      <rPr>
        <b/>
        <sz val="12"/>
        <color theme="1"/>
        <rFont val="Calibri"/>
        <family val="2"/>
        <scheme val="minor"/>
      </rPr>
      <t xml:space="preserve"> (°C)</t>
    </r>
  </si>
  <si>
    <t>PI</t>
  </si>
  <si>
    <t>TOC (%)</t>
  </si>
  <si>
    <t>HI</t>
  </si>
  <si>
    <t>OI</t>
  </si>
  <si>
    <r>
      <rPr>
        <b/>
        <sz val="12"/>
        <color theme="1"/>
        <rFont val="Calibri (Body)"/>
      </rPr>
      <t>(</t>
    </r>
    <r>
      <rPr>
        <b/>
        <vertAlign val="superscript"/>
        <sz val="12"/>
        <color theme="1"/>
        <rFont val="Calibri (Body)"/>
      </rPr>
      <t>o</t>
    </r>
    <r>
      <rPr>
        <b/>
        <sz val="12"/>
        <color theme="1"/>
        <rFont val="Calibri"/>
        <family val="2"/>
        <scheme val="minor"/>
      </rPr>
      <t>Δ2θ)</t>
    </r>
  </si>
  <si>
    <t>Inch of Ferrington-1</t>
  </si>
  <si>
    <t>Cuttings</t>
  </si>
  <si>
    <t>Rock-chip</t>
  </si>
  <si>
    <t>MVS</t>
  </si>
  <si>
    <t>U. Carboniferous</t>
  </si>
  <si>
    <t>Scottish Lower Coal Measures Fm.</t>
  </si>
  <si>
    <t>Upper Limestone Fm.</t>
  </si>
  <si>
    <t>2,8</t>
  </si>
  <si>
    <t>(NS 290777, 690150)</t>
  </si>
  <si>
    <t>(56.091618 N, 3.757062 W)</t>
  </si>
  <si>
    <t>Limestone Coal Fm.</t>
  </si>
  <si>
    <t>L. Carboniferous</t>
  </si>
  <si>
    <t>Lower Limestone Fm.</t>
  </si>
  <si>
    <t>Devonian</t>
  </si>
  <si>
    <t>Stratheden Group</t>
  </si>
  <si>
    <t>Milton of Balgonie-1</t>
  </si>
  <si>
    <t>(NT 33173, 99335)</t>
  </si>
  <si>
    <t>(56.181942 N, 3.078141 W)</t>
  </si>
  <si>
    <t>Strathclyde Group</t>
  </si>
  <si>
    <t>Calais-3</t>
  </si>
  <si>
    <t>(NT 12764, 86386)</t>
  </si>
  <si>
    <t>(56.062333 N, 3.402583 W)</t>
  </si>
  <si>
    <t>Kirk Smeaton-1</t>
  </si>
  <si>
    <t>Pennine B.</t>
  </si>
  <si>
    <t>Westphalian C</t>
  </si>
  <si>
    <t>Pennine Upper Coal Measures Fm.</t>
  </si>
  <si>
    <t>(SE 51142, 16097)</t>
  </si>
  <si>
    <t>Westphalian B</t>
  </si>
  <si>
    <t>Pennine Middle Coal Measures Fm.</t>
  </si>
  <si>
    <t>(53.638899 N, 1.227966 W)</t>
  </si>
  <si>
    <t>Westphalian A</t>
  </si>
  <si>
    <t>Pennine Lower Coal Measures Fm.</t>
  </si>
  <si>
    <t>Namurian</t>
  </si>
  <si>
    <t>Millstone Grit Group</t>
  </si>
  <si>
    <t>Bowland Shale Fm.</t>
  </si>
  <si>
    <t>Gun Hill-1</t>
  </si>
  <si>
    <t>(SJ 97230, 61820)</t>
  </si>
  <si>
    <t>(53.153506 N, 2.042876 W)</t>
  </si>
  <si>
    <t>Gainsborough-2</t>
  </si>
  <si>
    <t>(SK 81774, 90785)</t>
  </si>
  <si>
    <t>(53.407555 N, 0.771360 W)</t>
  </si>
  <si>
    <t xml:space="preserve">Rufford-1 </t>
  </si>
  <si>
    <t>Westphalian</t>
  </si>
  <si>
    <t>nd</t>
  </si>
  <si>
    <t>(SK 64718, 62200)</t>
  </si>
  <si>
    <t>(53.153012 N, 1.033694 W)</t>
  </si>
  <si>
    <t>Tournaisian-Visean</t>
  </si>
  <si>
    <t>Carsington Dam Reconstruction-1</t>
  </si>
  <si>
    <t>Outcrop</t>
  </si>
  <si>
    <t xml:space="preserve"> </t>
  </si>
  <si>
    <t>UNITED STATES GEOLOGICAL SURVEY (USGS)</t>
  </si>
  <si>
    <t>ROCK-CHIPS</t>
  </si>
  <si>
    <t>ShBOQ-1C</t>
  </si>
  <si>
    <t>Gulf Coast B.</t>
  </si>
  <si>
    <t>Late Cretaceous</t>
  </si>
  <si>
    <t>Boquillas Shale</t>
  </si>
  <si>
    <t>(29.7028 N, 101.2111 W)</t>
  </si>
  <si>
    <t>ShWFD-1C</t>
  </si>
  <si>
    <t>Anadarko B.</t>
  </si>
  <si>
    <t>Dev. - Mississippian</t>
  </si>
  <si>
    <t>Woodford shale</t>
  </si>
  <si>
    <t>(34.352 N, 97.1489 W)</t>
  </si>
  <si>
    <t>ShMAR-1C</t>
  </si>
  <si>
    <t>Appalachian B.</t>
  </si>
  <si>
    <t>Marcellus Shale</t>
  </si>
  <si>
    <t>(42.9787 N, 77.9884 W)</t>
  </si>
  <si>
    <t>ShNIO-ICP</t>
  </si>
  <si>
    <t>Denver-Julesburg B.</t>
  </si>
  <si>
    <t>Niobrara Shale</t>
  </si>
  <si>
    <t>(40.223 N, 105.2315 W)</t>
  </si>
  <si>
    <t>ShPYR-1</t>
  </si>
  <si>
    <t>Piceance B.</t>
  </si>
  <si>
    <t>Eocene</t>
  </si>
  <si>
    <t xml:space="preserve">Green River </t>
  </si>
  <si>
    <t>ShMCO-1-1C</t>
  </si>
  <si>
    <t>Late Crtaceous</t>
  </si>
  <si>
    <t>Mancos Shale</t>
  </si>
  <si>
    <t>STREW SLIDES</t>
  </si>
  <si>
    <t>Strew slide</t>
  </si>
  <si>
    <t>NORWEGIAN CONTINETAL SHELF: Turner (2018) Thesis</t>
  </si>
  <si>
    <t>7120/2-3 S</t>
  </si>
  <si>
    <t>Skalle Field</t>
  </si>
  <si>
    <t>Late Jurassic</t>
  </si>
  <si>
    <t>Hekkingen Fm.</t>
  </si>
  <si>
    <t>(71.472097 N, 20.214423 E)</t>
  </si>
  <si>
    <t>33/12-10 S</t>
  </si>
  <si>
    <t>Volgrav Field</t>
  </si>
  <si>
    <t>Draupne Fm.</t>
  </si>
  <si>
    <t>(61.7783 N, 1.562867 E)</t>
  </si>
  <si>
    <t>16/1-14</t>
  </si>
  <si>
    <t>Apollo</t>
  </si>
  <si>
    <t>Upper Cretaceous</t>
  </si>
  <si>
    <t>Kyrre Fm.</t>
  </si>
  <si>
    <t>(58.53928 N, 2.121046 E)</t>
  </si>
  <si>
    <t>UK CONTINETAL SHELF: SHELL (UK)</t>
  </si>
  <si>
    <t>21/02-01</t>
  </si>
  <si>
    <t>Glenn Field</t>
  </si>
  <si>
    <t>Kimmeridge Clay Fm.</t>
  </si>
  <si>
    <t>57.55 N, 0.15 E</t>
  </si>
  <si>
    <t>22/13a-01</t>
  </si>
  <si>
    <t>Bardolino</t>
  </si>
  <si>
    <t>(57.3734872 N, 1.2501024 E)</t>
  </si>
  <si>
    <t>29/07-01</t>
  </si>
  <si>
    <t>Curlew A</t>
  </si>
  <si>
    <t>(56.4710230 N, 1.1611060 E)</t>
  </si>
  <si>
    <t>SW01</t>
  </si>
  <si>
    <t>Shearwater</t>
  </si>
  <si>
    <t>Heather Fm.</t>
  </si>
  <si>
    <t>(57.01 N, 1.56 E)</t>
  </si>
  <si>
    <t>SW04</t>
  </si>
  <si>
    <t>Core</t>
  </si>
  <si>
    <t>Lat Jurassic</t>
  </si>
  <si>
    <t>Using Kingston  - 532 nm laser calibration equation</t>
  </si>
  <si>
    <t>Using NPL  - 532 nm laser calibration equation</t>
  </si>
  <si>
    <t>(39.657 N, 107.705 W)</t>
  </si>
  <si>
    <t>(38.86 N, 107.86 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</si>
</sst>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 (Body)"/>
    </font>
    <font>
      <b/>
      <sz val="12"/>
      <color theme="1"/>
      <name val="Calibri (Body)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54545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105">
    <xf numFmtId="0" fontId="0" fillId="0" borderId="0" xfId="0"/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/>
    </xf>
    <xf numFmtId="0" fontId="0" fillId="3" borderId="2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0" fontId="0" fillId="3" borderId="0" xfId="2" applyFont="1" applyFill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1" fontId="11" fillId="3" borderId="0" xfId="0" applyNumberFormat="1" applyFont="1" applyFill="1" applyAlignment="1">
      <alignment horizontal="left" vertical="top" wrapText="1"/>
    </xf>
    <xf numFmtId="0" fontId="12" fillId="3" borderId="0" xfId="0" applyFont="1" applyFill="1" applyAlignment="1">
      <alignment vertical="center" wrapText="1"/>
    </xf>
    <xf numFmtId="2" fontId="0" fillId="3" borderId="0" xfId="0" applyNumberFormat="1" applyFill="1" applyAlignment="1">
      <alignment horizontal="left" vertical="top"/>
    </xf>
    <xf numFmtId="2" fontId="13" fillId="3" borderId="0" xfId="0" applyNumberFormat="1" applyFont="1" applyFill="1" applyAlignment="1">
      <alignment horizontal="left" vertical="top"/>
    </xf>
    <xf numFmtId="1" fontId="13" fillId="3" borderId="0" xfId="0" applyNumberFormat="1" applyFont="1" applyFill="1" applyAlignment="1">
      <alignment horizontal="left" vertical="top"/>
    </xf>
    <xf numFmtId="1" fontId="0" fillId="3" borderId="0" xfId="0" applyNumberFormat="1" applyFill="1" applyAlignment="1">
      <alignment horizontal="left" vertical="top"/>
    </xf>
    <xf numFmtId="2" fontId="1" fillId="3" borderId="2" xfId="1" applyNumberFormat="1" applyFont="1" applyFill="1" applyBorder="1" applyAlignment="1">
      <alignment horizontal="left" vertical="top" wrapText="1"/>
    </xf>
    <xf numFmtId="2" fontId="13" fillId="3" borderId="2" xfId="0" applyNumberFormat="1" applyFont="1" applyFill="1" applyBorder="1" applyAlignment="1">
      <alignment horizontal="left" vertical="top"/>
    </xf>
    <xf numFmtId="0" fontId="12" fillId="3" borderId="0" xfId="0" quotePrefix="1" applyFont="1" applyFill="1" applyAlignment="1">
      <alignment horizontal="left" vertical="center"/>
    </xf>
    <xf numFmtId="0" fontId="4" fillId="3" borderId="0" xfId="2" applyFont="1" applyFill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0" fontId="1" fillId="3" borderId="0" xfId="2" applyFill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2" fontId="12" fillId="3" borderId="0" xfId="0" applyNumberFormat="1" applyFont="1" applyFill="1" applyAlignment="1">
      <alignment horizontal="left" vertical="top"/>
    </xf>
    <xf numFmtId="1" fontId="12" fillId="3" borderId="0" xfId="0" applyNumberFormat="1" applyFont="1" applyFill="1" applyAlignment="1">
      <alignment horizontal="left" vertical="top"/>
    </xf>
    <xf numFmtId="1" fontId="1" fillId="3" borderId="0" xfId="0" applyNumberFormat="1" applyFont="1" applyFill="1" applyAlignment="1">
      <alignment horizontal="left" vertical="top"/>
    </xf>
    <xf numFmtId="2" fontId="1" fillId="3" borderId="0" xfId="1" applyNumberFormat="1" applyFont="1" applyFill="1" applyBorder="1" applyAlignment="1">
      <alignment horizontal="left" vertical="top" wrapText="1"/>
    </xf>
    <xf numFmtId="2" fontId="1" fillId="3" borderId="0" xfId="0" applyNumberFormat="1" applyFont="1" applyFill="1" applyAlignment="1">
      <alignment horizontal="left" vertical="top"/>
    </xf>
    <xf numFmtId="2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14" fillId="3" borderId="0" xfId="0" quotePrefix="1" applyFont="1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2" fontId="0" fillId="3" borderId="0" xfId="2" applyNumberFormat="1" applyFont="1" applyFill="1" applyAlignment="1">
      <alignment horizontal="left" vertical="top"/>
    </xf>
    <xf numFmtId="2" fontId="13" fillId="3" borderId="0" xfId="2" applyNumberFormat="1" applyFont="1" applyFill="1" applyAlignment="1">
      <alignment horizontal="left" vertical="top"/>
    </xf>
    <xf numFmtId="1" fontId="13" fillId="3" borderId="0" xfId="2" applyNumberFormat="1" applyFont="1" applyFill="1" applyAlignment="1">
      <alignment horizontal="left" vertical="top"/>
    </xf>
    <xf numFmtId="0" fontId="10" fillId="3" borderId="0" xfId="2" applyFont="1" applyFill="1" applyAlignment="1">
      <alignment horizontal="left" vertical="top" wrapText="1"/>
    </xf>
    <xf numFmtId="2" fontId="12" fillId="3" borderId="0" xfId="2" applyNumberFormat="1" applyFont="1" applyFill="1" applyAlignment="1">
      <alignment horizontal="left" vertical="top" wrapText="1"/>
    </xf>
    <xf numFmtId="2" fontId="13" fillId="3" borderId="0" xfId="2" applyNumberFormat="1" applyFont="1" applyFill="1" applyAlignment="1">
      <alignment horizontal="left" vertical="top" wrapText="1"/>
    </xf>
    <xf numFmtId="1" fontId="13" fillId="3" borderId="0" xfId="2" applyNumberFormat="1" applyFont="1" applyFill="1" applyAlignment="1">
      <alignment horizontal="left" vertical="top" wrapText="1"/>
    </xf>
    <xf numFmtId="2" fontId="13" fillId="3" borderId="0" xfId="0" applyNumberFormat="1" applyFont="1" applyFill="1" applyAlignment="1">
      <alignment horizontal="left" vertical="top" wrapText="1"/>
    </xf>
    <xf numFmtId="1" fontId="13" fillId="3" borderId="0" xfId="0" applyNumberFormat="1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center"/>
    </xf>
    <xf numFmtId="0" fontId="16" fillId="3" borderId="0" xfId="2" applyFont="1" applyFill="1" applyAlignment="1">
      <alignment horizontal="left" vertical="top" wrapText="1"/>
    </xf>
    <xf numFmtId="0" fontId="12" fillId="3" borderId="0" xfId="0" quotePrefix="1" applyFont="1" applyFill="1" applyAlignment="1">
      <alignment horizontal="left" vertical="top"/>
    </xf>
    <xf numFmtId="2" fontId="13" fillId="0" borderId="0" xfId="2" applyNumberFormat="1" applyFont="1" applyAlignment="1">
      <alignment horizontal="left" vertical="top" wrapText="1"/>
    </xf>
    <xf numFmtId="0" fontId="12" fillId="3" borderId="0" xfId="0" quotePrefix="1" applyFont="1" applyFill="1" applyAlignment="1">
      <alignment vertical="center"/>
    </xf>
    <xf numFmtId="0" fontId="17" fillId="3" borderId="0" xfId="0" applyFont="1" applyFill="1" applyAlignment="1">
      <alignment vertical="center"/>
    </xf>
    <xf numFmtId="2" fontId="0" fillId="3" borderId="0" xfId="2" applyNumberFormat="1" applyFont="1" applyFill="1" applyAlignment="1">
      <alignment horizontal="left" vertical="top" wrapText="1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/>
    </xf>
    <xf numFmtId="0" fontId="0" fillId="3" borderId="0" xfId="0" quotePrefix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9" fillId="3" borderId="0" xfId="0" applyFont="1" applyFill="1" applyAlignment="1">
      <alignment vertical="center"/>
    </xf>
    <xf numFmtId="0" fontId="19" fillId="3" borderId="0" xfId="0" applyFont="1" applyFill="1" applyAlignment="1">
      <alignment vertical="top"/>
    </xf>
    <xf numFmtId="0" fontId="13" fillId="3" borderId="0" xfId="0" applyFont="1" applyFill="1" applyAlignment="1">
      <alignment horizontal="left" vertical="top"/>
    </xf>
    <xf numFmtId="0" fontId="10" fillId="3" borderId="3" xfId="2" applyFont="1" applyFill="1" applyBorder="1" applyAlignment="1">
      <alignment horizontal="left" vertical="top" wrapText="1"/>
    </xf>
    <xf numFmtId="0" fontId="0" fillId="3" borderId="3" xfId="2" applyFont="1" applyFill="1" applyBorder="1" applyAlignment="1">
      <alignment horizontal="left" vertical="top"/>
    </xf>
    <xf numFmtId="0" fontId="0" fillId="3" borderId="3" xfId="0" applyFill="1" applyBorder="1" applyAlignment="1">
      <alignment horizontal="left" vertical="top" wrapText="1"/>
    </xf>
    <xf numFmtId="1" fontId="11" fillId="3" borderId="3" xfId="0" applyNumberFormat="1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1" fontId="0" fillId="3" borderId="3" xfId="0" applyNumberFormat="1" applyFill="1" applyBorder="1" applyAlignment="1">
      <alignment horizontal="left" vertical="top"/>
    </xf>
    <xf numFmtId="2" fontId="0" fillId="3" borderId="3" xfId="2" applyNumberFormat="1" applyFont="1" applyFill="1" applyBorder="1" applyAlignment="1">
      <alignment horizontal="left" vertical="top" wrapText="1"/>
    </xf>
    <xf numFmtId="164" fontId="13" fillId="3" borderId="3" xfId="2" applyNumberFormat="1" applyFont="1" applyFill="1" applyBorder="1" applyAlignment="1">
      <alignment horizontal="left" vertical="top" wrapText="1"/>
    </xf>
    <xf numFmtId="2" fontId="13" fillId="3" borderId="3" xfId="0" applyNumberFormat="1" applyFont="1" applyFill="1" applyBorder="1" applyAlignment="1">
      <alignment horizontal="left" vertical="top"/>
    </xf>
    <xf numFmtId="1" fontId="13" fillId="3" borderId="3" xfId="2" applyNumberFormat="1" applyFont="1" applyFill="1" applyBorder="1" applyAlignment="1">
      <alignment horizontal="left" vertical="top" wrapText="1"/>
    </xf>
    <xf numFmtId="2" fontId="13" fillId="3" borderId="3" xfId="2" applyNumberFormat="1" applyFont="1" applyFill="1" applyBorder="1" applyAlignment="1">
      <alignment horizontal="left" vertical="top" wrapText="1"/>
    </xf>
    <xf numFmtId="2" fontId="1" fillId="3" borderId="3" xfId="1" applyNumberFormat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2" fontId="0" fillId="3" borderId="3" xfId="0" applyNumberFormat="1" applyFill="1" applyBorder="1" applyAlignment="1">
      <alignment horizontal="left" vertical="top"/>
    </xf>
    <xf numFmtId="0" fontId="20" fillId="3" borderId="2" xfId="0" applyFont="1" applyFill="1" applyBorder="1" applyAlignment="1">
      <alignment horizontal="left" vertical="top"/>
    </xf>
    <xf numFmtId="1" fontId="0" fillId="3" borderId="2" xfId="0" applyNumberFormat="1" applyFill="1" applyBorder="1" applyAlignment="1">
      <alignment horizontal="left" vertical="top"/>
    </xf>
    <xf numFmtId="2" fontId="0" fillId="3" borderId="2" xfId="0" applyNumberFormat="1" applyFill="1" applyBorder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2" fontId="4" fillId="3" borderId="0" xfId="1" applyNumberFormat="1" applyFont="1" applyFill="1" applyBorder="1" applyAlignment="1">
      <alignment horizontal="left" vertical="top"/>
    </xf>
    <xf numFmtId="0" fontId="4" fillId="0" borderId="0" xfId="0" applyFont="1"/>
    <xf numFmtId="2" fontId="15" fillId="3" borderId="0" xfId="1" applyNumberFormat="1" applyFont="1" applyFill="1" applyBorder="1" applyAlignment="1">
      <alignment horizontal="left" vertical="top" wrapText="1"/>
    </xf>
    <xf numFmtId="2" fontId="17" fillId="3" borderId="0" xfId="0" applyNumberFormat="1" applyFont="1" applyFill="1" applyAlignment="1">
      <alignment horizontal="left" vertical="top"/>
    </xf>
    <xf numFmtId="165" fontId="0" fillId="3" borderId="0" xfId="0" applyNumberFormat="1" applyFill="1" applyAlignment="1">
      <alignment horizontal="left" vertical="top"/>
    </xf>
    <xf numFmtId="0" fontId="4" fillId="3" borderId="0" xfId="0" applyFont="1" applyFill="1"/>
    <xf numFmtId="0" fontId="15" fillId="3" borderId="0" xfId="0" applyFont="1" applyFill="1" applyAlignment="1">
      <alignment horizontal="left" vertical="top"/>
    </xf>
    <xf numFmtId="2" fontId="4" fillId="3" borderId="2" xfId="1" applyNumberFormat="1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0" xfId="0" quotePrefix="1" applyFont="1" applyFill="1" applyAlignment="1">
      <alignment horizontal="left" vertical="top"/>
    </xf>
    <xf numFmtId="0" fontId="12" fillId="3" borderId="3" xfId="0" applyFont="1" applyFill="1" applyBorder="1" applyAlignment="1">
      <alignment horizontal="left" vertical="top" wrapText="1"/>
    </xf>
    <xf numFmtId="2" fontId="15" fillId="3" borderId="3" xfId="1" applyNumberFormat="1" applyFont="1" applyFill="1" applyBorder="1" applyAlignment="1">
      <alignment horizontal="left" vertical="top" wrapText="1"/>
    </xf>
    <xf numFmtId="2" fontId="17" fillId="3" borderId="3" xfId="0" applyNumberFormat="1" applyFont="1" applyFill="1" applyBorder="1" applyAlignment="1">
      <alignment horizontal="left" vertical="top"/>
    </xf>
    <xf numFmtId="14" fontId="4" fillId="3" borderId="0" xfId="0" quotePrefix="1" applyNumberFormat="1" applyFont="1" applyFill="1" applyAlignment="1">
      <alignment horizontal="left" vertical="top"/>
    </xf>
    <xf numFmtId="0" fontId="22" fillId="4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1" fontId="11" fillId="3" borderId="0" xfId="0" applyNumberFormat="1" applyFont="1" applyFill="1" applyBorder="1" applyAlignment="1">
      <alignment horizontal="left" vertical="top" wrapText="1"/>
    </xf>
    <xf numFmtId="0" fontId="23" fillId="3" borderId="0" xfId="0" applyFont="1" applyFill="1"/>
    <xf numFmtId="2" fontId="22" fillId="4" borderId="0" xfId="0" applyNumberFormat="1" applyFont="1" applyFill="1" applyAlignment="1">
      <alignment horizontal="left" vertical="top"/>
    </xf>
    <xf numFmtId="0" fontId="0" fillId="3" borderId="0" xfId="0" applyFont="1" applyFill="1"/>
    <xf numFmtId="0" fontId="0" fillId="3" borderId="3" xfId="0" applyFont="1" applyFill="1" applyBorder="1"/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</cellXfs>
  <cellStyles count="3">
    <cellStyle name="Calculation" xfId="1" builtinId="22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5"/>
  <sheetViews>
    <sheetView tabSelected="1" zoomScale="60" zoomScaleNormal="60" workbookViewId="0">
      <pane ySplit="1" topLeftCell="A2" activePane="bottomLeft" state="frozen"/>
      <selection pane="bottomLeft" activeCell="B123" sqref="B123"/>
    </sheetView>
  </sheetViews>
  <sheetFormatPr defaultColWidth="10.875" defaultRowHeight="15.75" x14ac:dyDescent="0.25"/>
  <cols>
    <col min="1" max="1" width="23.875" style="6" customWidth="1"/>
    <col min="2" max="2" width="13" style="6" customWidth="1"/>
    <col min="3" max="3" width="10.5" style="6" bestFit="1" customWidth="1"/>
    <col min="4" max="4" width="9.375" style="6" bestFit="1" customWidth="1"/>
    <col min="5" max="5" width="10.5" style="6" customWidth="1"/>
    <col min="6" max="6" width="12.125" style="6" customWidth="1"/>
    <col min="7" max="7" width="16.625" style="6" customWidth="1"/>
    <col min="8" max="8" width="18.875" style="6" bestFit="1" customWidth="1"/>
    <col min="9" max="9" width="32.125" style="6" customWidth="1"/>
    <col min="10" max="10" width="9.125" style="6" customWidth="1"/>
    <col min="11" max="11" width="9" style="6" bestFit="1" customWidth="1"/>
    <col min="12" max="12" width="6.625" style="6" bestFit="1" customWidth="1"/>
    <col min="13" max="13" width="10.375" style="6" customWidth="1"/>
    <col min="14" max="14" width="10.875" style="6" bestFit="1" customWidth="1"/>
    <col min="15" max="15" width="6.375" style="6" bestFit="1" customWidth="1"/>
    <col min="16" max="16" width="6.625" style="6" bestFit="1" customWidth="1"/>
    <col min="17" max="17" width="8" style="6" customWidth="1"/>
    <col min="18" max="18" width="5.625" style="6" bestFit="1" customWidth="1"/>
    <col min="19" max="19" width="9.875" style="6" bestFit="1" customWidth="1"/>
    <col min="20" max="20" width="8.125" style="6" customWidth="1"/>
    <col min="21" max="21" width="5.625" style="6" customWidth="1"/>
    <col min="22" max="22" width="8" style="6" bestFit="1" customWidth="1"/>
    <col min="23" max="23" width="9.5" style="6" bestFit="1" customWidth="1"/>
    <col min="24" max="24" width="4" style="6" bestFit="1" customWidth="1"/>
    <col min="25" max="25" width="12.5" style="6" customWidth="1"/>
    <col min="26" max="26" width="4" style="6" bestFit="1" customWidth="1"/>
    <col min="27" max="27" width="5.125" style="6" bestFit="1" customWidth="1"/>
    <col min="28" max="28" width="4" style="6" bestFit="1" customWidth="1"/>
    <col min="29" max="29" width="7.375" style="6" bestFit="1" customWidth="1"/>
    <col min="30" max="30" width="4" style="6" bestFit="1" customWidth="1"/>
    <col min="31" max="31" width="8.875" style="6" customWidth="1"/>
    <col min="32" max="32" width="6.375" style="6" bestFit="1" customWidth="1"/>
    <col min="33" max="33" width="8.125" style="6" bestFit="1" customWidth="1"/>
    <col min="34" max="35" width="4.5" style="6" bestFit="1" customWidth="1"/>
    <col min="36" max="36" width="16.875" style="6" bestFit="1" customWidth="1"/>
    <col min="37" max="38" width="10.875" style="6"/>
    <col min="39" max="39" width="17.625" style="6" customWidth="1"/>
    <col min="40" max="40" width="19.125" style="6" customWidth="1"/>
    <col min="41" max="16384" width="10.875" style="6"/>
  </cols>
  <sheetData>
    <row r="1" spans="1:36" ht="17.100000000000001" customHeight="1" x14ac:dyDescent="0.25">
      <c r="A1" s="100" t="s">
        <v>0</v>
      </c>
      <c r="B1" s="102" t="s">
        <v>1</v>
      </c>
      <c r="C1" s="1" t="s">
        <v>2</v>
      </c>
      <c r="D1" s="1" t="s">
        <v>3</v>
      </c>
      <c r="E1" s="1"/>
      <c r="F1" s="1"/>
      <c r="G1" s="1"/>
      <c r="H1" s="2" t="s">
        <v>4</v>
      </c>
      <c r="I1" s="3" t="s">
        <v>5</v>
      </c>
      <c r="J1" s="1" t="s">
        <v>6</v>
      </c>
      <c r="K1" s="104" t="s">
        <v>7</v>
      </c>
      <c r="L1" s="104"/>
      <c r="M1" s="104"/>
      <c r="N1" s="104"/>
      <c r="O1" s="104"/>
      <c r="P1" s="104"/>
      <c r="Q1" s="104"/>
      <c r="R1" s="2"/>
      <c r="S1" s="2" t="s">
        <v>8</v>
      </c>
      <c r="T1" s="2"/>
      <c r="U1" s="2"/>
      <c r="V1" s="2"/>
      <c r="W1" s="104" t="s">
        <v>9</v>
      </c>
      <c r="X1" s="104"/>
      <c r="Y1" s="104"/>
      <c r="Z1" s="104"/>
      <c r="AA1" s="104"/>
      <c r="AB1" s="104"/>
      <c r="AC1" s="104"/>
      <c r="AD1" s="104"/>
      <c r="AE1" s="4" t="s">
        <v>10</v>
      </c>
      <c r="AF1" s="5"/>
      <c r="AG1" s="4"/>
      <c r="AH1" s="4"/>
      <c r="AI1" s="4"/>
      <c r="AJ1" s="3" t="s">
        <v>11</v>
      </c>
    </row>
    <row r="2" spans="1:36" ht="18.75" x14ac:dyDescent="0.25">
      <c r="A2" s="101"/>
      <c r="B2" s="103"/>
      <c r="C2" s="7"/>
      <c r="D2" s="7"/>
      <c r="E2" s="7" t="s">
        <v>12</v>
      </c>
      <c r="F2" s="7" t="s">
        <v>13</v>
      </c>
      <c r="G2" s="7" t="s">
        <v>14</v>
      </c>
      <c r="H2" s="8"/>
      <c r="I2" s="8"/>
      <c r="J2" s="7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9" t="s">
        <v>20</v>
      </c>
      <c r="P2" s="9" t="s">
        <v>17</v>
      </c>
      <c r="Q2" s="9" t="s">
        <v>21</v>
      </c>
      <c r="R2" s="9" t="s">
        <v>17</v>
      </c>
      <c r="S2" s="9" t="s">
        <v>16</v>
      </c>
      <c r="T2" s="9" t="s">
        <v>22</v>
      </c>
      <c r="U2" s="9" t="s">
        <v>20</v>
      </c>
      <c r="V2" s="9" t="s">
        <v>21</v>
      </c>
      <c r="W2" s="10" t="s">
        <v>23</v>
      </c>
      <c r="X2" s="9" t="s">
        <v>17</v>
      </c>
      <c r="Y2" s="9" t="s">
        <v>18</v>
      </c>
      <c r="Z2" s="9" t="s">
        <v>17</v>
      </c>
      <c r="AA2" s="9" t="s">
        <v>20</v>
      </c>
      <c r="AB2" s="9" t="s">
        <v>17</v>
      </c>
      <c r="AC2" s="9" t="s">
        <v>21</v>
      </c>
      <c r="AD2" s="9" t="s">
        <v>17</v>
      </c>
      <c r="AE2" s="10" t="s">
        <v>24</v>
      </c>
      <c r="AF2" s="10" t="s">
        <v>25</v>
      </c>
      <c r="AG2" s="10" t="s">
        <v>26</v>
      </c>
      <c r="AH2" s="10" t="s">
        <v>27</v>
      </c>
      <c r="AI2" s="10" t="s">
        <v>28</v>
      </c>
      <c r="AJ2" s="8" t="s">
        <v>29</v>
      </c>
    </row>
    <row r="3" spans="1:36" x14ac:dyDescent="0.25">
      <c r="A3" s="11" t="s">
        <v>30</v>
      </c>
      <c r="B3" s="12">
        <v>75826</v>
      </c>
      <c r="C3" s="13">
        <v>24</v>
      </c>
      <c r="D3" s="14">
        <f>C3*3.28084</f>
        <v>78.740160000000003</v>
      </c>
      <c r="E3" s="13" t="s">
        <v>31</v>
      </c>
      <c r="F3" s="13" t="s">
        <v>32</v>
      </c>
      <c r="G3" s="13" t="s">
        <v>33</v>
      </c>
      <c r="H3" s="15" t="s">
        <v>34</v>
      </c>
      <c r="I3" s="15" t="s">
        <v>35</v>
      </c>
      <c r="J3" s="12">
        <v>0.56999999999999995</v>
      </c>
      <c r="K3" s="16">
        <v>86.439847599999993</v>
      </c>
      <c r="L3" s="17">
        <v>3.4466962602075477</v>
      </c>
      <c r="M3" s="18">
        <v>458.54361174127899</v>
      </c>
      <c r="N3" s="19">
        <v>27.712292313838297</v>
      </c>
      <c r="O3" s="17">
        <v>0.61673660798591645</v>
      </c>
      <c r="P3" s="17">
        <v>1.8198181623267942E-2</v>
      </c>
      <c r="Q3" s="18">
        <v>228.25178105000001</v>
      </c>
      <c r="R3" s="18">
        <v>9.7575711815555888</v>
      </c>
      <c r="S3" s="20">
        <f t="shared" ref="S3:S15" si="0">85.7830385291*EXP(-0.058254813*K3)</f>
        <v>0.55782172501094029</v>
      </c>
      <c r="T3" s="21">
        <f>-0.0000264097*(M3*1000)+12.6257416613</f>
        <v>0.5157424382963427</v>
      </c>
      <c r="U3" s="21">
        <f>1945.4938205866*EXP(-11.6106553161*O3)</f>
        <v>1.5106725363990419</v>
      </c>
      <c r="V3" s="21">
        <f>0.1359255714*Q3-30.6210791875</f>
        <v>0.40417457478894292</v>
      </c>
      <c r="W3" s="16"/>
      <c r="X3" s="16"/>
      <c r="Y3" s="16"/>
      <c r="Z3" s="16"/>
      <c r="AA3" s="16"/>
      <c r="AB3" s="16"/>
      <c r="AC3" s="16"/>
      <c r="AD3" s="16"/>
      <c r="AE3" s="6">
        <v>429</v>
      </c>
      <c r="AF3" s="6">
        <v>0.13</v>
      </c>
      <c r="AG3" s="6">
        <v>3.34</v>
      </c>
      <c r="AH3" s="6">
        <v>121</v>
      </c>
      <c r="AI3" s="6">
        <v>33</v>
      </c>
      <c r="AJ3" s="22"/>
    </row>
    <row r="4" spans="1:36" x14ac:dyDescent="0.25">
      <c r="A4" s="11"/>
      <c r="B4" s="23">
        <v>75827</v>
      </c>
      <c r="C4" s="24">
        <v>588</v>
      </c>
      <c r="D4" s="14">
        <f t="shared" ref="D4:D15" si="1">C4*3.28084</f>
        <v>1929.13392</v>
      </c>
      <c r="E4" s="24" t="s">
        <v>31</v>
      </c>
      <c r="F4" s="24" t="s">
        <v>32</v>
      </c>
      <c r="G4" s="24" t="s">
        <v>33</v>
      </c>
      <c r="H4" s="15" t="s">
        <v>34</v>
      </c>
      <c r="I4" s="15" t="s">
        <v>36</v>
      </c>
      <c r="J4" s="25">
        <v>0.95</v>
      </c>
      <c r="K4" s="26">
        <v>76.414687465</v>
      </c>
      <c r="L4" s="27" t="s">
        <v>37</v>
      </c>
      <c r="M4" s="28">
        <v>449.23773271777702</v>
      </c>
      <c r="N4" s="29">
        <v>25.0153963763272</v>
      </c>
      <c r="O4" s="27">
        <v>0.61419020386686052</v>
      </c>
      <c r="P4" s="27">
        <v>6.5163172377328701E-2</v>
      </c>
      <c r="Q4" s="28">
        <v>240.9402805833333</v>
      </c>
      <c r="R4" s="28">
        <v>7.7572784582468097</v>
      </c>
      <c r="S4" s="30">
        <f t="shared" si="0"/>
        <v>1.0002980164814823</v>
      </c>
      <c r="T4" s="17">
        <f t="shared" ref="T4:T67" si="2">-0.0000264097*(M4*1000)+12.6257416613</f>
        <v>0.76150791154332431</v>
      </c>
      <c r="U4" s="17">
        <f t="shared" ref="U4:U67" si="3">1945.4938205866*EXP(-11.6106553161*O4)</f>
        <v>1.5560030105210252</v>
      </c>
      <c r="V4" s="17">
        <f t="shared" ref="V4:V67" si="4">0.1359255714*Q4-30.6210791875</f>
        <v>2.128866124065901</v>
      </c>
      <c r="W4" s="31"/>
      <c r="X4" s="32"/>
      <c r="Y4" s="32"/>
      <c r="Z4" s="32"/>
      <c r="AA4" s="32"/>
      <c r="AB4" s="32"/>
      <c r="AC4" s="32"/>
      <c r="AD4" s="32"/>
      <c r="AE4" s="33"/>
      <c r="AF4" s="33"/>
      <c r="AG4" s="33"/>
      <c r="AH4" s="33"/>
      <c r="AI4" s="33"/>
      <c r="AJ4" s="34"/>
    </row>
    <row r="5" spans="1:36" x14ac:dyDescent="0.25">
      <c r="A5" s="35" t="s">
        <v>38</v>
      </c>
      <c r="B5" s="25">
        <v>75828</v>
      </c>
      <c r="C5" s="24">
        <v>640</v>
      </c>
      <c r="D5" s="14">
        <f t="shared" si="1"/>
        <v>2099.7375999999999</v>
      </c>
      <c r="E5" s="24" t="s">
        <v>31</v>
      </c>
      <c r="F5" s="24" t="s">
        <v>32</v>
      </c>
      <c r="G5" s="24" t="s">
        <v>33</v>
      </c>
      <c r="H5" s="15" t="s">
        <v>34</v>
      </c>
      <c r="I5" s="15" t="s">
        <v>36</v>
      </c>
      <c r="J5" s="25">
        <v>0.75</v>
      </c>
      <c r="K5" s="31">
        <v>79.840869874999996</v>
      </c>
      <c r="L5" s="27">
        <v>1.7702556907408564</v>
      </c>
      <c r="M5" s="28">
        <v>444.01942155934898</v>
      </c>
      <c r="N5" s="29">
        <v>21.899344127802241</v>
      </c>
      <c r="O5" s="27">
        <v>0.60472666533291186</v>
      </c>
      <c r="P5" s="27">
        <v>2.5450703435295895E-2</v>
      </c>
      <c r="Q5" s="28">
        <v>234.04838829166667</v>
      </c>
      <c r="R5" s="28">
        <v>2.8459221749852883</v>
      </c>
      <c r="S5" s="30">
        <f t="shared" si="0"/>
        <v>0.81930927315149682</v>
      </c>
      <c r="T5" s="17">
        <f t="shared" si="2"/>
        <v>0.89932194374406116</v>
      </c>
      <c r="U5" s="17">
        <f t="shared" si="3"/>
        <v>1.7367199439498335</v>
      </c>
      <c r="V5" s="17">
        <f t="shared" si="4"/>
        <v>1.1920817262938606</v>
      </c>
      <c r="W5" s="31">
        <v>81.180000000000007</v>
      </c>
      <c r="X5" s="16"/>
      <c r="Y5" s="6">
        <v>410.71600000000001</v>
      </c>
      <c r="AA5" s="6">
        <v>0.62</v>
      </c>
      <c r="AC5" s="6">
        <v>233.33</v>
      </c>
      <c r="AD5" s="16"/>
      <c r="AE5" s="6">
        <v>435</v>
      </c>
      <c r="AF5" s="6">
        <v>0.06</v>
      </c>
      <c r="AG5" s="16">
        <v>13.2</v>
      </c>
      <c r="AH5" s="6">
        <v>119</v>
      </c>
      <c r="AI5" s="6">
        <v>12</v>
      </c>
      <c r="AJ5" s="22"/>
    </row>
    <row r="6" spans="1:36" x14ac:dyDescent="0.25">
      <c r="A6" s="35" t="s">
        <v>39</v>
      </c>
      <c r="B6" s="25">
        <v>75846</v>
      </c>
      <c r="C6" s="24">
        <v>735</v>
      </c>
      <c r="D6" s="14">
        <f t="shared" si="1"/>
        <v>2411.4173999999998</v>
      </c>
      <c r="E6" s="24" t="s">
        <v>31</v>
      </c>
      <c r="F6" s="24" t="s">
        <v>32</v>
      </c>
      <c r="G6" s="24" t="s">
        <v>33</v>
      </c>
      <c r="H6" s="15" t="s">
        <v>34</v>
      </c>
      <c r="I6" s="15" t="s">
        <v>40</v>
      </c>
      <c r="J6" s="25">
        <v>0.89</v>
      </c>
      <c r="K6" s="31">
        <v>77.365514200000007</v>
      </c>
      <c r="L6" s="27">
        <v>2.5088880564695031</v>
      </c>
      <c r="M6" s="28">
        <v>430.587346029309</v>
      </c>
      <c r="N6" s="29">
        <v>18.289898482203341</v>
      </c>
      <c r="O6" s="27">
        <v>0.58791046952501358</v>
      </c>
      <c r="P6" s="27">
        <v>1.8097697324995311E-2</v>
      </c>
      <c r="Q6" s="28">
        <v>237.08024124999997</v>
      </c>
      <c r="R6" s="28">
        <v>6.4024245028358733</v>
      </c>
      <c r="S6" s="30">
        <f t="shared" si="0"/>
        <v>0.94639782778596127</v>
      </c>
      <c r="T6" s="17">
        <f t="shared" si="2"/>
        <v>1.2540590288697562</v>
      </c>
      <c r="U6" s="17">
        <f t="shared" si="3"/>
        <v>2.1111763368980707</v>
      </c>
      <c r="V6" s="17">
        <f t="shared" si="4"/>
        <v>1.6041880720560968</v>
      </c>
      <c r="W6" s="31"/>
      <c r="X6" s="16"/>
      <c r="Y6" s="16"/>
      <c r="Z6" s="16"/>
      <c r="AA6" s="16"/>
      <c r="AB6" s="16"/>
      <c r="AC6" s="16"/>
      <c r="AD6" s="16"/>
      <c r="AE6" s="6">
        <v>442</v>
      </c>
      <c r="AF6" s="6">
        <v>0.11</v>
      </c>
      <c r="AG6" s="6">
        <v>3.57</v>
      </c>
      <c r="AH6" s="6">
        <v>125</v>
      </c>
      <c r="AI6" s="6">
        <v>32</v>
      </c>
      <c r="AJ6" s="22"/>
    </row>
    <row r="7" spans="1:36" x14ac:dyDescent="0.25">
      <c r="A7" s="11"/>
      <c r="B7" s="12">
        <v>75829</v>
      </c>
      <c r="C7" s="13">
        <v>838</v>
      </c>
      <c r="D7" s="14">
        <f t="shared" si="1"/>
        <v>2749.3439199999998</v>
      </c>
      <c r="E7" s="13" t="s">
        <v>31</v>
      </c>
      <c r="F7" s="24" t="s">
        <v>32</v>
      </c>
      <c r="G7" s="13" t="s">
        <v>33</v>
      </c>
      <c r="H7" s="15" t="s">
        <v>34</v>
      </c>
      <c r="I7" s="15" t="s">
        <v>40</v>
      </c>
      <c r="J7" s="36">
        <v>1</v>
      </c>
      <c r="K7" s="16">
        <v>76.273616333333351</v>
      </c>
      <c r="L7" s="17">
        <v>2.629071784696424</v>
      </c>
      <c r="M7" s="18">
        <v>435.06036286547101</v>
      </c>
      <c r="N7" s="19">
        <v>22.291321615926297</v>
      </c>
      <c r="O7" s="17">
        <v>0.59916841423452005</v>
      </c>
      <c r="P7" s="17">
        <v>1.2690027797880764E-2</v>
      </c>
      <c r="Q7" s="18">
        <v>237.32016591666667</v>
      </c>
      <c r="R7" s="18">
        <v>2.1307968219158995</v>
      </c>
      <c r="S7" s="30">
        <f t="shared" si="0"/>
        <v>1.0085524091394997</v>
      </c>
      <c r="T7" s="17">
        <f t="shared" si="2"/>
        <v>1.1359279961317714</v>
      </c>
      <c r="U7" s="17">
        <f t="shared" si="3"/>
        <v>1.8524946351685878</v>
      </c>
      <c r="V7" s="17">
        <f t="shared" si="4"/>
        <v>1.63679996946572</v>
      </c>
      <c r="W7" s="16">
        <v>118.08</v>
      </c>
      <c r="X7" s="16"/>
      <c r="Y7" s="16">
        <v>546.64700000000005</v>
      </c>
      <c r="Z7" s="16"/>
      <c r="AA7" s="16">
        <v>0.74</v>
      </c>
      <c r="AB7" s="16"/>
      <c r="AC7" s="16">
        <v>268.05</v>
      </c>
      <c r="AD7" s="16"/>
      <c r="AE7" s="6">
        <v>436</v>
      </c>
      <c r="AF7" s="6">
        <v>0.11</v>
      </c>
      <c r="AG7" s="6">
        <v>8.23</v>
      </c>
      <c r="AH7" s="6">
        <v>160</v>
      </c>
      <c r="AI7" s="6">
        <v>15</v>
      </c>
      <c r="AJ7" s="22"/>
    </row>
    <row r="8" spans="1:36" x14ac:dyDescent="0.25">
      <c r="A8" s="11"/>
      <c r="B8" s="12">
        <v>75830</v>
      </c>
      <c r="C8" s="13">
        <v>1021</v>
      </c>
      <c r="D8" s="14">
        <f t="shared" si="1"/>
        <v>3349.7376399999998</v>
      </c>
      <c r="E8" s="13" t="s">
        <v>31</v>
      </c>
      <c r="F8" s="24" t="s">
        <v>32</v>
      </c>
      <c r="G8" s="13" t="s">
        <v>33</v>
      </c>
      <c r="H8" s="15" t="s">
        <v>34</v>
      </c>
      <c r="I8" s="15" t="s">
        <v>40</v>
      </c>
      <c r="J8" s="12">
        <v>1.85</v>
      </c>
      <c r="K8" s="16">
        <v>67.398972166666681</v>
      </c>
      <c r="L8" s="17">
        <v>3.9917498795058721</v>
      </c>
      <c r="M8" s="18">
        <v>386.579609417158</v>
      </c>
      <c r="N8" s="19">
        <v>21.090041985011172</v>
      </c>
      <c r="O8" s="17">
        <v>0.5496003189454669</v>
      </c>
      <c r="P8" s="17">
        <v>2.616719651110281E-2</v>
      </c>
      <c r="Q8" s="18">
        <v>242.49661933333334</v>
      </c>
      <c r="R8" s="18">
        <v>3.565352321252691</v>
      </c>
      <c r="S8" s="30">
        <f t="shared" si="0"/>
        <v>1.6913157576638034</v>
      </c>
      <c r="T8" s="17">
        <f t="shared" si="2"/>
        <v>2.4162901504756817</v>
      </c>
      <c r="U8" s="17">
        <f t="shared" si="3"/>
        <v>3.2938307570135255</v>
      </c>
      <c r="V8" s="17">
        <f t="shared" si="4"/>
        <v>2.3404123579516209</v>
      </c>
      <c r="W8" s="16"/>
      <c r="X8" s="16"/>
      <c r="Y8" s="16"/>
      <c r="Z8" s="16"/>
      <c r="AA8" s="16"/>
      <c r="AB8" s="16"/>
      <c r="AC8" s="16"/>
      <c r="AD8" s="16"/>
      <c r="AE8" s="6">
        <v>462</v>
      </c>
      <c r="AF8" s="6">
        <v>0.14000000000000001</v>
      </c>
      <c r="AG8" s="6">
        <v>17.68</v>
      </c>
      <c r="AH8" s="6">
        <v>90</v>
      </c>
      <c r="AI8" s="6">
        <v>5</v>
      </c>
      <c r="AJ8" s="22"/>
    </row>
    <row r="9" spans="1:36" x14ac:dyDescent="0.25">
      <c r="A9" s="11"/>
      <c r="B9" s="12">
        <v>75831</v>
      </c>
      <c r="C9" s="13">
        <v>1064</v>
      </c>
      <c r="D9" s="14">
        <f t="shared" si="1"/>
        <v>3490.81376</v>
      </c>
      <c r="E9" s="13" t="s">
        <v>31</v>
      </c>
      <c r="F9" s="24" t="s">
        <v>32</v>
      </c>
      <c r="G9" s="13" t="s">
        <v>33</v>
      </c>
      <c r="H9" s="15" t="s">
        <v>34</v>
      </c>
      <c r="I9" s="15" t="s">
        <v>40</v>
      </c>
      <c r="J9" s="12">
        <v>2.23</v>
      </c>
      <c r="K9" s="16">
        <v>64.311978957142856</v>
      </c>
      <c r="L9" s="17">
        <v>3.6209826971059424</v>
      </c>
      <c r="M9" s="18">
        <v>398.77462960961202</v>
      </c>
      <c r="N9" s="19">
        <v>36.2098269710594</v>
      </c>
      <c r="O9" s="17">
        <v>0.5366769566046723</v>
      </c>
      <c r="P9" s="17">
        <v>3.6209826971059424</v>
      </c>
      <c r="Q9" s="18">
        <v>243.47807979285716</v>
      </c>
      <c r="R9" s="18">
        <v>3.6209826971059424</v>
      </c>
      <c r="S9" s="30">
        <f t="shared" si="0"/>
        <v>2.0245328710854791</v>
      </c>
      <c r="T9" s="17">
        <f t="shared" si="2"/>
        <v>2.0942233256990281</v>
      </c>
      <c r="U9" s="17">
        <f t="shared" si="3"/>
        <v>3.8270717587819543</v>
      </c>
      <c r="V9" s="17">
        <f t="shared" si="4"/>
        <v>2.4738179317189051</v>
      </c>
      <c r="W9" s="16">
        <v>68.25</v>
      </c>
      <c r="X9" s="16"/>
      <c r="Y9" s="16">
        <v>349.96199999999999</v>
      </c>
      <c r="Z9" s="16"/>
      <c r="AA9" s="16">
        <v>0.57999999999999996</v>
      </c>
      <c r="AB9" s="16"/>
      <c r="AC9" s="16">
        <v>264.08</v>
      </c>
      <c r="AD9" s="16"/>
      <c r="AE9" s="6">
        <v>471</v>
      </c>
      <c r="AF9" s="6">
        <v>0.12</v>
      </c>
      <c r="AG9" s="6">
        <v>23.28</v>
      </c>
      <c r="AH9" s="6">
        <v>106</v>
      </c>
      <c r="AI9" s="6">
        <v>4</v>
      </c>
      <c r="AJ9" s="22"/>
    </row>
    <row r="10" spans="1:36" x14ac:dyDescent="0.25">
      <c r="A10" s="11"/>
      <c r="B10" s="12">
        <v>75840</v>
      </c>
      <c r="C10" s="13">
        <v>1155</v>
      </c>
      <c r="D10" s="14">
        <f t="shared" si="1"/>
        <v>3789.3701999999998</v>
      </c>
      <c r="E10" s="13" t="s">
        <v>31</v>
      </c>
      <c r="F10" s="24" t="s">
        <v>32</v>
      </c>
      <c r="G10" s="13" t="s">
        <v>33</v>
      </c>
      <c r="H10" s="15" t="s">
        <v>34</v>
      </c>
      <c r="I10" s="15" t="s">
        <v>40</v>
      </c>
      <c r="J10" s="12">
        <v>3.79</v>
      </c>
      <c r="K10" s="16">
        <v>53.415865733333341</v>
      </c>
      <c r="L10" s="17">
        <v>1.9175596186906274</v>
      </c>
      <c r="M10" s="18">
        <v>315.14570513336099</v>
      </c>
      <c r="N10" s="19">
        <v>31.806287319241989</v>
      </c>
      <c r="O10" s="17">
        <v>0.44071300908267713</v>
      </c>
      <c r="P10" s="17">
        <v>4.4555638308222255E-2</v>
      </c>
      <c r="Q10" s="18">
        <v>249.7885575306122</v>
      </c>
      <c r="R10" s="18">
        <v>4.9984089448128017</v>
      </c>
      <c r="S10" s="30">
        <f t="shared" si="0"/>
        <v>3.8193873542273624</v>
      </c>
      <c r="T10" s="17">
        <f t="shared" si="2"/>
        <v>4.3028381324394758</v>
      </c>
      <c r="U10" s="17">
        <f t="shared" si="3"/>
        <v>11.661633604137203</v>
      </c>
      <c r="V10" s="17">
        <f t="shared" si="4"/>
        <v>3.3315732240302367</v>
      </c>
      <c r="W10" s="16"/>
      <c r="X10" s="16"/>
      <c r="Y10" s="16"/>
      <c r="Z10" s="16"/>
      <c r="AA10" s="16"/>
      <c r="AB10" s="16"/>
      <c r="AC10" s="16"/>
      <c r="AD10" s="16"/>
      <c r="AE10" s="6">
        <v>436</v>
      </c>
      <c r="AF10" s="16">
        <v>0.3</v>
      </c>
      <c r="AG10" s="6">
        <v>8.24</v>
      </c>
      <c r="AH10" s="6">
        <v>34</v>
      </c>
      <c r="AI10" s="6">
        <v>9</v>
      </c>
      <c r="AJ10" s="22"/>
    </row>
    <row r="11" spans="1:36" x14ac:dyDescent="0.25">
      <c r="A11" s="11"/>
      <c r="B11" s="12">
        <v>75841</v>
      </c>
      <c r="C11" s="13">
        <v>1170</v>
      </c>
      <c r="D11" s="14">
        <f t="shared" si="1"/>
        <v>3838.5828000000001</v>
      </c>
      <c r="E11" s="13" t="s">
        <v>31</v>
      </c>
      <c r="F11" s="24" t="s">
        <v>32</v>
      </c>
      <c r="G11" s="13" t="s">
        <v>33</v>
      </c>
      <c r="H11" s="15" t="s">
        <v>34</v>
      </c>
      <c r="I11" s="15" t="s">
        <v>40</v>
      </c>
      <c r="J11" s="12">
        <v>4.03</v>
      </c>
      <c r="K11" s="16">
        <v>56.555628326666692</v>
      </c>
      <c r="L11" s="17">
        <v>2.9008165042167136</v>
      </c>
      <c r="M11" s="18">
        <v>327.15194803459002</v>
      </c>
      <c r="N11" s="19">
        <v>29.326985027760976</v>
      </c>
      <c r="O11" s="17">
        <v>0.45406337510370398</v>
      </c>
      <c r="P11" s="17">
        <v>4.7634880092287613E-2</v>
      </c>
      <c r="Q11" s="18">
        <v>243.54120897103175</v>
      </c>
      <c r="R11" s="18">
        <v>8.8936031381837388</v>
      </c>
      <c r="S11" s="30">
        <f t="shared" si="0"/>
        <v>3.1809622601271172</v>
      </c>
      <c r="T11" s="17">
        <f t="shared" si="2"/>
        <v>3.9857568592908876</v>
      </c>
      <c r="U11" s="17">
        <f t="shared" si="3"/>
        <v>9.9871351140847864</v>
      </c>
      <c r="V11" s="17">
        <f t="shared" si="4"/>
        <v>2.4823988013342984</v>
      </c>
      <c r="W11" s="16"/>
      <c r="X11" s="16"/>
      <c r="Y11" s="16"/>
      <c r="Z11" s="16"/>
      <c r="AA11" s="16"/>
      <c r="AB11" s="16"/>
      <c r="AC11" s="16"/>
      <c r="AD11" s="16"/>
      <c r="AE11" s="6">
        <v>445</v>
      </c>
      <c r="AF11" s="6">
        <v>0.25</v>
      </c>
      <c r="AG11" s="16">
        <v>8.1</v>
      </c>
      <c r="AH11" s="6">
        <v>41</v>
      </c>
      <c r="AI11" s="6">
        <v>9</v>
      </c>
      <c r="AJ11" s="22"/>
    </row>
    <row r="12" spans="1:36" x14ac:dyDescent="0.25">
      <c r="A12" s="11"/>
      <c r="B12" s="12">
        <v>75842</v>
      </c>
      <c r="C12" s="13">
        <v>1423</v>
      </c>
      <c r="D12" s="14">
        <f t="shared" si="1"/>
        <v>4668.6353200000003</v>
      </c>
      <c r="E12" s="13" t="s">
        <v>31</v>
      </c>
      <c r="F12" s="24" t="s">
        <v>32</v>
      </c>
      <c r="G12" s="13" t="s">
        <v>33</v>
      </c>
      <c r="H12" s="15" t="s">
        <v>34</v>
      </c>
      <c r="I12" s="15" t="s">
        <v>40</v>
      </c>
      <c r="J12" s="12">
        <v>6.04</v>
      </c>
      <c r="K12" s="16">
        <v>49.196419320068038</v>
      </c>
      <c r="L12" s="17">
        <v>2.4545109571680892</v>
      </c>
      <c r="M12" s="18">
        <v>305.18737592600701</v>
      </c>
      <c r="N12" s="19">
        <v>43.802363482256162</v>
      </c>
      <c r="O12" s="17">
        <v>0.50136483716265623</v>
      </c>
      <c r="P12" s="17">
        <v>7.7435566164439223E-2</v>
      </c>
      <c r="Q12" s="18">
        <v>253.04675585986391</v>
      </c>
      <c r="R12" s="18">
        <v>8.6826868112640732</v>
      </c>
      <c r="S12" s="30">
        <f t="shared" si="0"/>
        <v>4.8836509862109665</v>
      </c>
      <c r="T12" s="17">
        <f t="shared" si="2"/>
        <v>4.5658346193069335</v>
      </c>
      <c r="U12" s="17">
        <f t="shared" si="3"/>
        <v>5.766681610518039</v>
      </c>
      <c r="V12" s="17">
        <f t="shared" si="4"/>
        <v>3.774445693668298</v>
      </c>
      <c r="W12" s="16"/>
      <c r="X12" s="16"/>
      <c r="Y12" s="16"/>
      <c r="Z12" s="16"/>
      <c r="AA12" s="16"/>
      <c r="AB12" s="16"/>
      <c r="AC12" s="16"/>
      <c r="AD12" s="16"/>
      <c r="AE12" s="6">
        <v>407</v>
      </c>
      <c r="AF12" s="6">
        <v>0.35</v>
      </c>
      <c r="AG12" s="6">
        <v>1.1399999999999999</v>
      </c>
      <c r="AH12" s="6">
        <v>39</v>
      </c>
      <c r="AI12" s="6">
        <v>4</v>
      </c>
      <c r="AJ12" s="22"/>
    </row>
    <row r="13" spans="1:36" x14ac:dyDescent="0.25">
      <c r="A13" s="11"/>
      <c r="B13" s="12">
        <v>75843</v>
      </c>
      <c r="C13" s="13">
        <v>1487</v>
      </c>
      <c r="D13" s="14">
        <f t="shared" si="1"/>
        <v>4878.6090800000002</v>
      </c>
      <c r="E13" s="13" t="s">
        <v>31</v>
      </c>
      <c r="F13" s="24" t="s">
        <v>32</v>
      </c>
      <c r="G13" s="13" t="s">
        <v>33</v>
      </c>
      <c r="H13" s="15" t="s">
        <v>34</v>
      </c>
      <c r="I13" s="15" t="s">
        <v>40</v>
      </c>
      <c r="J13" s="12">
        <v>4.28</v>
      </c>
      <c r="K13" s="16">
        <v>45.335961874999967</v>
      </c>
      <c r="L13" s="17">
        <v>1.8242299609944388</v>
      </c>
      <c r="M13" s="18">
        <v>289.68116056361703</v>
      </c>
      <c r="N13" s="19">
        <v>21.18054467662045</v>
      </c>
      <c r="O13" s="17">
        <v>0.53173257601519686</v>
      </c>
      <c r="P13" s="17">
        <v>3.0344694504383492E-2</v>
      </c>
      <c r="Q13" s="18">
        <v>267.78630467976188</v>
      </c>
      <c r="R13" s="18">
        <v>4.9419358148662278</v>
      </c>
      <c r="S13" s="30">
        <f t="shared" si="0"/>
        <v>6.1152357406558808</v>
      </c>
      <c r="T13" s="17">
        <f t="shared" si="2"/>
        <v>4.9753491151630431</v>
      </c>
      <c r="U13" s="17">
        <f t="shared" si="3"/>
        <v>4.0532030930522751</v>
      </c>
      <c r="V13" s="17">
        <f t="shared" si="4"/>
        <v>5.7779272891911262</v>
      </c>
      <c r="W13" s="16"/>
      <c r="X13" s="16"/>
      <c r="Y13" s="16"/>
      <c r="Z13" s="16"/>
      <c r="AA13" s="16"/>
      <c r="AB13" s="16"/>
      <c r="AC13" s="16"/>
      <c r="AD13" s="16"/>
      <c r="AE13" s="6">
        <v>333</v>
      </c>
      <c r="AF13" s="6">
        <v>0.48</v>
      </c>
      <c r="AG13" s="6">
        <v>2.2799999999999998</v>
      </c>
      <c r="AH13" s="6">
        <v>29</v>
      </c>
      <c r="AI13" s="6">
        <v>11</v>
      </c>
      <c r="AJ13" s="22"/>
    </row>
    <row r="14" spans="1:36" x14ac:dyDescent="0.25">
      <c r="A14" s="11"/>
      <c r="B14" s="12">
        <v>75844</v>
      </c>
      <c r="C14" s="13">
        <v>1637</v>
      </c>
      <c r="D14" s="14">
        <f t="shared" si="1"/>
        <v>5370.7350800000004</v>
      </c>
      <c r="E14" s="13" t="s">
        <v>31</v>
      </c>
      <c r="F14" s="24" t="s">
        <v>32</v>
      </c>
      <c r="G14" s="13" t="s">
        <v>33</v>
      </c>
      <c r="H14" s="15" t="s">
        <v>41</v>
      </c>
      <c r="I14" s="15" t="s">
        <v>42</v>
      </c>
      <c r="J14" s="12">
        <v>2.97</v>
      </c>
      <c r="K14" s="16">
        <v>57.20785766666669</v>
      </c>
      <c r="L14" s="17">
        <v>0.7747529136692527</v>
      </c>
      <c r="M14" s="18">
        <v>357.65506676274902</v>
      </c>
      <c r="N14" s="19">
        <v>12.230529868606119</v>
      </c>
      <c r="O14" s="17">
        <v>0.50541092760837281</v>
      </c>
      <c r="P14" s="17">
        <v>1.5973309647102786E-2</v>
      </c>
      <c r="Q14" s="18">
        <v>244.71846949999997</v>
      </c>
      <c r="R14" s="18">
        <v>3.4585954011052902</v>
      </c>
      <c r="S14" s="30">
        <f t="shared" si="0"/>
        <v>3.0623673183384454</v>
      </c>
      <c r="T14" s="17">
        <f t="shared" si="2"/>
        <v>3.1801786446158271</v>
      </c>
      <c r="U14" s="17">
        <f t="shared" si="3"/>
        <v>5.5020406060444378</v>
      </c>
      <c r="V14" s="17">
        <f t="shared" si="4"/>
        <v>2.6424186114209647</v>
      </c>
      <c r="W14" s="16">
        <v>60.85</v>
      </c>
      <c r="X14" s="16"/>
      <c r="Y14" s="16">
        <v>292.03699999999998</v>
      </c>
      <c r="Z14" s="16"/>
      <c r="AA14" s="16">
        <v>0.53</v>
      </c>
      <c r="AB14" s="16"/>
      <c r="AC14" s="16">
        <v>260.22000000000003</v>
      </c>
      <c r="AD14" s="16"/>
      <c r="AE14" s="6">
        <v>603</v>
      </c>
      <c r="AF14" s="6">
        <v>0.38</v>
      </c>
      <c r="AG14" s="6">
        <v>15.06</v>
      </c>
      <c r="AH14" s="6">
        <v>10</v>
      </c>
      <c r="AI14" s="6">
        <v>5</v>
      </c>
      <c r="AJ14" s="22"/>
    </row>
    <row r="15" spans="1:36" x14ac:dyDescent="0.25">
      <c r="A15" s="11"/>
      <c r="B15" s="12">
        <v>75845</v>
      </c>
      <c r="C15" s="13">
        <v>2057</v>
      </c>
      <c r="D15" s="14">
        <f t="shared" si="1"/>
        <v>6748.6878800000004</v>
      </c>
      <c r="E15" s="13" t="s">
        <v>31</v>
      </c>
      <c r="F15" s="24" t="s">
        <v>32</v>
      </c>
      <c r="G15" s="13" t="s">
        <v>33</v>
      </c>
      <c r="H15" s="15" t="s">
        <v>43</v>
      </c>
      <c r="I15" s="15" t="s">
        <v>44</v>
      </c>
      <c r="J15" s="12">
        <v>2.21</v>
      </c>
      <c r="K15" s="37">
        <v>61.920855500000016</v>
      </c>
      <c r="L15" s="37">
        <v>0.81620114371939878</v>
      </c>
      <c r="M15" s="38">
        <v>422.30849746307399</v>
      </c>
      <c r="N15" s="19">
        <v>5.983160316890765</v>
      </c>
      <c r="O15" s="17">
        <v>0.585575638640213</v>
      </c>
      <c r="P15" s="17">
        <v>1.2776867116422284E-2</v>
      </c>
      <c r="Q15" s="18">
        <v>238.30670400000008</v>
      </c>
      <c r="R15" s="18">
        <v>5.4694279725680532</v>
      </c>
      <c r="S15" s="30">
        <f t="shared" si="0"/>
        <v>2.3271246340548837</v>
      </c>
      <c r="T15" s="17">
        <f t="shared" si="2"/>
        <v>1.4727009358494545</v>
      </c>
      <c r="U15" s="17">
        <f t="shared" si="3"/>
        <v>2.169190842564467</v>
      </c>
      <c r="V15" s="17">
        <f t="shared" si="4"/>
        <v>1.7708957221506765</v>
      </c>
      <c r="W15" s="37"/>
      <c r="X15" s="37"/>
      <c r="Y15" s="37"/>
      <c r="Z15" s="37"/>
      <c r="AA15" s="37"/>
      <c r="AB15" s="37"/>
      <c r="AC15" s="37"/>
      <c r="AD15" s="37"/>
      <c r="AE15" s="6">
        <v>344</v>
      </c>
      <c r="AF15" s="6">
        <v>0.21</v>
      </c>
      <c r="AG15" s="6">
        <v>0.95</v>
      </c>
      <c r="AH15" s="6">
        <v>55</v>
      </c>
      <c r="AI15" s="6">
        <v>59</v>
      </c>
      <c r="AJ15" s="22"/>
    </row>
    <row r="16" spans="1:36" x14ac:dyDescent="0.25">
      <c r="A16" s="11"/>
      <c r="D16" s="19"/>
      <c r="F16" s="24"/>
      <c r="L16" s="16"/>
      <c r="N16" s="19"/>
      <c r="S16" s="30"/>
      <c r="T16" s="17"/>
      <c r="U16" s="17"/>
      <c r="V16" s="17"/>
    </row>
    <row r="17" spans="1:41" x14ac:dyDescent="0.25">
      <c r="A17" s="39" t="s">
        <v>45</v>
      </c>
      <c r="B17" s="12">
        <v>80037</v>
      </c>
      <c r="C17" s="19">
        <v>304.8</v>
      </c>
      <c r="D17" s="14">
        <f>C17*3.28084</f>
        <v>1000.000032</v>
      </c>
      <c r="E17" s="13" t="s">
        <v>31</v>
      </c>
      <c r="F17" s="24" t="s">
        <v>32</v>
      </c>
      <c r="G17" s="13" t="s">
        <v>33</v>
      </c>
      <c r="H17" s="15" t="s">
        <v>34</v>
      </c>
      <c r="I17" s="15" t="s">
        <v>36</v>
      </c>
      <c r="J17" s="40">
        <v>0.48</v>
      </c>
      <c r="K17" s="41">
        <v>88.41</v>
      </c>
      <c r="L17" s="17">
        <v>3.1282031988799051</v>
      </c>
      <c r="M17" s="42">
        <v>455.31299999999999</v>
      </c>
      <c r="N17" s="19">
        <v>18.279784791257448</v>
      </c>
      <c r="O17" s="43">
        <v>0.6</v>
      </c>
      <c r="P17" s="17">
        <v>1.6566972877993212E-2</v>
      </c>
      <c r="Q17" s="44">
        <v>236</v>
      </c>
      <c r="R17" s="18">
        <v>6.7463728583592975</v>
      </c>
      <c r="S17" s="30">
        <f t="shared" ref="S17:S48" si="5">85.7830385291*EXP(-0.058254813*K17)</f>
        <v>0.49733734701202587</v>
      </c>
      <c r="T17" s="17">
        <f t="shared" si="2"/>
        <v>0.60106192519999979</v>
      </c>
      <c r="U17" s="17">
        <f t="shared" si="3"/>
        <v>1.8346943970131753</v>
      </c>
      <c r="V17" s="17">
        <f t="shared" si="4"/>
        <v>1.4573556628999995</v>
      </c>
      <c r="W17" s="41"/>
      <c r="X17" s="41"/>
      <c r="Y17" s="41"/>
      <c r="Z17" s="41"/>
      <c r="AA17" s="41"/>
      <c r="AB17" s="41"/>
      <c r="AC17" s="41"/>
      <c r="AD17" s="41"/>
      <c r="AE17" s="45">
        <v>432</v>
      </c>
      <c r="AF17" s="45">
        <v>0.05</v>
      </c>
      <c r="AG17" s="45">
        <v>8.19</v>
      </c>
      <c r="AH17" s="45">
        <v>154</v>
      </c>
      <c r="AI17" s="45">
        <v>38</v>
      </c>
      <c r="AJ17" s="27"/>
      <c r="AK17" s="15"/>
      <c r="AL17" s="46"/>
      <c r="AM17" s="15"/>
      <c r="AN17" s="15"/>
      <c r="AO17" s="45"/>
    </row>
    <row r="18" spans="1:41" x14ac:dyDescent="0.25">
      <c r="A18" s="35" t="s">
        <v>46</v>
      </c>
      <c r="B18" s="12">
        <v>80249</v>
      </c>
      <c r="C18" s="19">
        <v>408.43200000000002</v>
      </c>
      <c r="D18" s="14">
        <f t="shared" ref="D18:D82" si="6">C18*3.28084</f>
        <v>1340.0000428800001</v>
      </c>
      <c r="E18" s="13" t="s">
        <v>31</v>
      </c>
      <c r="F18" s="24" t="s">
        <v>32</v>
      </c>
      <c r="G18" s="13" t="s">
        <v>33</v>
      </c>
      <c r="H18" s="15" t="s">
        <v>34</v>
      </c>
      <c r="I18" s="15" t="s">
        <v>36</v>
      </c>
      <c r="J18" s="40">
        <v>0.47</v>
      </c>
      <c r="K18" s="41">
        <v>87.8</v>
      </c>
      <c r="L18" s="17">
        <v>2.4601328411554935</v>
      </c>
      <c r="M18" s="42">
        <v>462.75299999999999</v>
      </c>
      <c r="N18" s="19">
        <v>15.872259730849956</v>
      </c>
      <c r="O18" s="43">
        <v>0.61</v>
      </c>
      <c r="P18" s="17">
        <v>2.3775368401079213E-2</v>
      </c>
      <c r="Q18" s="44">
        <v>229</v>
      </c>
      <c r="R18" s="18">
        <v>2.6811705134234876</v>
      </c>
      <c r="S18" s="30">
        <f t="shared" si="5"/>
        <v>0.5153282098701174</v>
      </c>
      <c r="T18" s="17">
        <f t="shared" si="2"/>
        <v>0.40457375719999966</v>
      </c>
      <c r="U18" s="17">
        <f t="shared" si="3"/>
        <v>1.6335758309206181</v>
      </c>
      <c r="V18" s="17">
        <f t="shared" si="4"/>
        <v>0.50587666310000046</v>
      </c>
      <c r="W18" s="41"/>
      <c r="X18" s="41"/>
      <c r="Y18" s="41"/>
      <c r="Z18" s="41"/>
      <c r="AA18" s="41"/>
      <c r="AB18" s="41"/>
      <c r="AC18" s="41"/>
      <c r="AD18" s="41"/>
      <c r="AE18" s="45">
        <v>424</v>
      </c>
      <c r="AF18" s="45">
        <v>0.03</v>
      </c>
      <c r="AG18" s="45">
        <v>21.15</v>
      </c>
      <c r="AH18" s="45">
        <v>165</v>
      </c>
      <c r="AI18" s="45">
        <v>25</v>
      </c>
      <c r="AJ18" s="22"/>
      <c r="AK18" s="15"/>
      <c r="AL18" s="46"/>
      <c r="AM18" s="15"/>
      <c r="AN18" s="15"/>
      <c r="AO18" s="45"/>
    </row>
    <row r="19" spans="1:41" x14ac:dyDescent="0.25">
      <c r="A19" s="35" t="s">
        <v>47</v>
      </c>
      <c r="B19" s="12">
        <v>80250</v>
      </c>
      <c r="C19" s="19">
        <v>488.59440000000001</v>
      </c>
      <c r="D19" s="14">
        <f t="shared" si="6"/>
        <v>1603.000051296</v>
      </c>
      <c r="E19" s="13" t="s">
        <v>31</v>
      </c>
      <c r="F19" s="24" t="s">
        <v>32</v>
      </c>
      <c r="G19" s="13" t="s">
        <v>33</v>
      </c>
      <c r="H19" s="15" t="s">
        <v>34</v>
      </c>
      <c r="I19" s="15" t="s">
        <v>36</v>
      </c>
      <c r="J19" s="40">
        <v>0.65</v>
      </c>
      <c r="K19" s="41">
        <v>84.39</v>
      </c>
      <c r="L19" s="17">
        <v>4.0803732406389921</v>
      </c>
      <c r="M19" s="42">
        <v>458.50299999999999</v>
      </c>
      <c r="N19" s="19">
        <v>23.200774304059266</v>
      </c>
      <c r="O19" s="43">
        <v>0.6</v>
      </c>
      <c r="P19" s="17">
        <v>3.2898313021840195E-2</v>
      </c>
      <c r="Q19" s="44">
        <v>232</v>
      </c>
      <c r="R19" s="18">
        <v>7.6964068111474617</v>
      </c>
      <c r="S19" s="30">
        <f t="shared" si="5"/>
        <v>0.62857346506538969</v>
      </c>
      <c r="T19" s="17">
        <f t="shared" si="2"/>
        <v>0.51681498219999966</v>
      </c>
      <c r="U19" s="17">
        <f t="shared" si="3"/>
        <v>1.8346943970131753</v>
      </c>
      <c r="V19" s="17">
        <f t="shared" si="4"/>
        <v>0.91365337729999752</v>
      </c>
      <c r="W19" s="41"/>
      <c r="X19" s="41"/>
      <c r="Y19" s="41"/>
      <c r="Z19" s="41"/>
      <c r="AA19" s="41"/>
      <c r="AB19" s="41"/>
      <c r="AC19" s="41"/>
      <c r="AD19" s="41"/>
      <c r="AE19" s="45">
        <v>432</v>
      </c>
      <c r="AF19" s="45">
        <v>0.05</v>
      </c>
      <c r="AG19" s="45">
        <v>7.63</v>
      </c>
      <c r="AH19" s="45">
        <v>75</v>
      </c>
      <c r="AI19" s="45">
        <v>42</v>
      </c>
      <c r="AJ19" s="22"/>
      <c r="AK19" s="15"/>
      <c r="AL19" s="46"/>
      <c r="AM19" s="15"/>
      <c r="AN19" s="15"/>
      <c r="AO19" s="45"/>
    </row>
    <row r="20" spans="1:41" x14ac:dyDescent="0.25">
      <c r="A20" s="47"/>
      <c r="B20" s="12">
        <v>80251</v>
      </c>
      <c r="C20" s="19">
        <v>582.16800000000001</v>
      </c>
      <c r="D20" s="14">
        <f t="shared" si="6"/>
        <v>1910.0000611200001</v>
      </c>
      <c r="E20" s="13" t="s">
        <v>31</v>
      </c>
      <c r="F20" s="24" t="s">
        <v>32</v>
      </c>
      <c r="G20" s="13" t="s">
        <v>33</v>
      </c>
      <c r="H20" s="15" t="s">
        <v>34</v>
      </c>
      <c r="I20" s="15" t="s">
        <v>40</v>
      </c>
      <c r="J20" s="40">
        <v>0.67</v>
      </c>
      <c r="K20" s="41">
        <v>86.3</v>
      </c>
      <c r="L20" s="17">
        <v>2.9121917781050675</v>
      </c>
      <c r="M20" s="42">
        <v>445.46899999999999</v>
      </c>
      <c r="N20" s="19">
        <v>14.615170564572747</v>
      </c>
      <c r="O20" s="43">
        <v>0.59</v>
      </c>
      <c r="P20" s="17">
        <v>3.2763189211877791E-2</v>
      </c>
      <c r="Q20" s="44">
        <v>234</v>
      </c>
      <c r="R20" s="18">
        <v>5.3750140048467392</v>
      </c>
      <c r="S20" s="30">
        <f t="shared" si="5"/>
        <v>0.56238474645442094</v>
      </c>
      <c r="T20" s="17">
        <f t="shared" si="2"/>
        <v>0.8610390119999991</v>
      </c>
      <c r="U20" s="17">
        <f t="shared" si="3"/>
        <v>2.0605737834248807</v>
      </c>
      <c r="V20" s="17">
        <f t="shared" si="4"/>
        <v>1.1855045201000003</v>
      </c>
      <c r="W20" s="41">
        <v>97.8</v>
      </c>
      <c r="X20" s="41"/>
      <c r="Y20" s="41">
        <v>435.70600000000002</v>
      </c>
      <c r="Z20" s="41"/>
      <c r="AA20" s="41">
        <v>0.61</v>
      </c>
      <c r="AB20" s="41"/>
      <c r="AC20" s="41">
        <v>227.72</v>
      </c>
      <c r="AD20" s="41"/>
      <c r="AE20" s="45">
        <v>430</v>
      </c>
      <c r="AF20" s="45">
        <v>0.03</v>
      </c>
      <c r="AG20" s="45">
        <v>25.53</v>
      </c>
      <c r="AH20" s="45">
        <v>107</v>
      </c>
      <c r="AI20" s="45">
        <v>30</v>
      </c>
      <c r="AJ20" s="22"/>
      <c r="AK20" s="15"/>
      <c r="AL20" s="46"/>
      <c r="AM20" s="15"/>
      <c r="AN20" s="15"/>
      <c r="AO20" s="45"/>
    </row>
    <row r="21" spans="1:41" x14ac:dyDescent="0.25">
      <c r="A21" s="39"/>
      <c r="B21" s="12">
        <v>80272</v>
      </c>
      <c r="C21" s="19">
        <v>624.84</v>
      </c>
      <c r="D21" s="14">
        <f t="shared" si="6"/>
        <v>2050.0000656000002</v>
      </c>
      <c r="E21" s="13" t="s">
        <v>31</v>
      </c>
      <c r="F21" s="24" t="s">
        <v>32</v>
      </c>
      <c r="G21" s="13" t="s">
        <v>33</v>
      </c>
      <c r="H21" s="15" t="s">
        <v>34</v>
      </c>
      <c r="I21" s="15" t="s">
        <v>40</v>
      </c>
      <c r="J21" s="48" t="s">
        <v>73</v>
      </c>
      <c r="K21" s="41">
        <v>85.8</v>
      </c>
      <c r="L21" s="17">
        <v>2.1233233836055518</v>
      </c>
      <c r="M21" s="42">
        <v>457.42099999999999</v>
      </c>
      <c r="N21" s="19">
        <v>18.078911619701945</v>
      </c>
      <c r="O21" s="43">
        <v>0.59</v>
      </c>
      <c r="P21" s="17">
        <v>3.0541848396549474E-2</v>
      </c>
      <c r="Q21" s="44">
        <v>236</v>
      </c>
      <c r="R21" s="18">
        <v>6.9281611714199212</v>
      </c>
      <c r="S21" s="30">
        <f t="shared" si="5"/>
        <v>0.57900645404449136</v>
      </c>
      <c r="T21" s="17">
        <f t="shared" si="2"/>
        <v>0.54539027759999925</v>
      </c>
      <c r="U21" s="17">
        <f t="shared" si="3"/>
        <v>2.0605737834248807</v>
      </c>
      <c r="V21" s="17">
        <f t="shared" si="4"/>
        <v>1.4573556628999995</v>
      </c>
      <c r="W21" s="41"/>
      <c r="X21" s="41"/>
      <c r="Y21" s="41"/>
      <c r="Z21" s="41"/>
      <c r="AA21" s="41"/>
      <c r="AB21" s="41"/>
      <c r="AC21" s="41"/>
      <c r="AD21" s="41"/>
      <c r="AE21" s="45">
        <v>434</v>
      </c>
      <c r="AF21" s="45">
        <v>0.06</v>
      </c>
      <c r="AG21" s="45">
        <v>4.26</v>
      </c>
      <c r="AH21" s="45">
        <v>88</v>
      </c>
      <c r="AI21" s="45">
        <v>22</v>
      </c>
      <c r="AJ21" s="22"/>
      <c r="AK21" s="15"/>
      <c r="AL21" s="46"/>
      <c r="AM21" s="15"/>
      <c r="AN21" s="15"/>
      <c r="AO21" s="45"/>
    </row>
    <row r="22" spans="1:41" x14ac:dyDescent="0.25">
      <c r="A22" s="39"/>
      <c r="B22" s="12">
        <v>80252</v>
      </c>
      <c r="C22" s="19">
        <v>649.22400000000005</v>
      </c>
      <c r="D22" s="14">
        <f t="shared" si="6"/>
        <v>2130.00006816</v>
      </c>
      <c r="E22" s="13" t="s">
        <v>31</v>
      </c>
      <c r="F22" s="24" t="s">
        <v>32</v>
      </c>
      <c r="G22" s="13" t="s">
        <v>33</v>
      </c>
      <c r="H22" s="15" t="s">
        <v>34</v>
      </c>
      <c r="I22" s="15" t="s">
        <v>40</v>
      </c>
      <c r="J22" s="40">
        <v>0.83</v>
      </c>
      <c r="K22" s="41">
        <v>78.5</v>
      </c>
      <c r="L22" s="17">
        <v>4.2024865154710529</v>
      </c>
      <c r="M22" s="42">
        <v>447.47800000000001</v>
      </c>
      <c r="N22" s="19">
        <v>42.207749166907838</v>
      </c>
      <c r="O22" s="43">
        <v>0.61</v>
      </c>
      <c r="P22" s="17">
        <v>4.0511907045565808E-2</v>
      </c>
      <c r="Q22" s="44">
        <v>237</v>
      </c>
      <c r="R22" s="18">
        <v>5.4091688632476735</v>
      </c>
      <c r="S22" s="30">
        <f t="shared" si="5"/>
        <v>0.88587314157982366</v>
      </c>
      <c r="T22" s="17">
        <f t="shared" si="2"/>
        <v>0.80798192469999996</v>
      </c>
      <c r="U22" s="17">
        <f t="shared" si="3"/>
        <v>1.6335758309206181</v>
      </c>
      <c r="V22" s="17">
        <f t="shared" si="4"/>
        <v>1.5932812343000009</v>
      </c>
      <c r="W22" s="41"/>
      <c r="X22" s="41"/>
      <c r="Y22" s="41"/>
      <c r="Z22" s="41"/>
      <c r="AA22" s="41"/>
      <c r="AB22" s="41"/>
      <c r="AC22" s="41"/>
      <c r="AD22" s="41"/>
      <c r="AE22" s="45">
        <v>438</v>
      </c>
      <c r="AF22" s="45">
        <v>0.05</v>
      </c>
      <c r="AG22" s="45">
        <v>6.65</v>
      </c>
      <c r="AH22" s="45">
        <v>94</v>
      </c>
      <c r="AI22" s="45">
        <v>18</v>
      </c>
      <c r="AJ22" s="22"/>
      <c r="AK22" s="15"/>
      <c r="AL22" s="46"/>
      <c r="AM22" s="15"/>
      <c r="AN22" s="15"/>
      <c r="AO22" s="45"/>
    </row>
    <row r="23" spans="1:41" x14ac:dyDescent="0.25">
      <c r="A23" s="39"/>
      <c r="B23" s="12">
        <v>80253</v>
      </c>
      <c r="C23" s="19">
        <v>704.08800000000008</v>
      </c>
      <c r="D23" s="14">
        <f t="shared" si="6"/>
        <v>2310.0000739200004</v>
      </c>
      <c r="E23" s="13" t="s">
        <v>31</v>
      </c>
      <c r="F23" s="24" t="s">
        <v>32</v>
      </c>
      <c r="G23" s="13" t="s">
        <v>33</v>
      </c>
      <c r="H23" s="15" t="s">
        <v>34</v>
      </c>
      <c r="I23" s="15" t="s">
        <v>40</v>
      </c>
      <c r="J23" s="40">
        <v>1.95</v>
      </c>
      <c r="K23" s="41">
        <v>69.010000000000005</v>
      </c>
      <c r="L23" s="17">
        <v>1.7961737393858073</v>
      </c>
      <c r="M23" s="42">
        <v>396.94499999999999</v>
      </c>
      <c r="N23" s="19">
        <v>9.9929121301323232</v>
      </c>
      <c r="O23" s="43">
        <v>0.54</v>
      </c>
      <c r="P23" s="17">
        <v>1.6354281846492326E-2</v>
      </c>
      <c r="Q23" s="44">
        <v>238</v>
      </c>
      <c r="R23" s="18">
        <v>4.4355891735784683</v>
      </c>
      <c r="S23" s="30">
        <f t="shared" si="5"/>
        <v>1.5398063406301317</v>
      </c>
      <c r="T23" s="17">
        <f t="shared" si="2"/>
        <v>2.1425432947999994</v>
      </c>
      <c r="U23" s="17">
        <f t="shared" si="3"/>
        <v>3.6822252077824165</v>
      </c>
      <c r="V23" s="17">
        <f t="shared" si="4"/>
        <v>1.7292068057000023</v>
      </c>
      <c r="W23" s="41">
        <v>77.459999999999994</v>
      </c>
      <c r="X23" s="41"/>
      <c r="Y23" s="41">
        <v>415.46199999999999</v>
      </c>
      <c r="Z23" s="41"/>
      <c r="AA23" s="41">
        <v>0.59</v>
      </c>
      <c r="AB23" s="41"/>
      <c r="AC23" s="41">
        <v>254.7</v>
      </c>
      <c r="AD23" s="41"/>
      <c r="AE23" s="45">
        <v>442</v>
      </c>
      <c r="AF23" s="45">
        <v>0.11</v>
      </c>
      <c r="AG23" s="45">
        <v>1.75</v>
      </c>
      <c r="AH23" s="45">
        <v>93</v>
      </c>
      <c r="AI23" s="45">
        <v>9</v>
      </c>
      <c r="AJ23" s="22"/>
      <c r="AK23" s="15"/>
      <c r="AL23" s="46"/>
      <c r="AM23" s="15"/>
      <c r="AN23" s="15"/>
      <c r="AO23" s="45"/>
    </row>
    <row r="24" spans="1:41" x14ac:dyDescent="0.25">
      <c r="A24" s="39"/>
      <c r="B24" s="12">
        <v>80254</v>
      </c>
      <c r="C24" s="19">
        <v>762</v>
      </c>
      <c r="D24" s="14">
        <f t="shared" si="6"/>
        <v>2500.0000799999998</v>
      </c>
      <c r="E24" s="13" t="s">
        <v>31</v>
      </c>
      <c r="F24" s="24" t="s">
        <v>32</v>
      </c>
      <c r="G24" s="13" t="s">
        <v>33</v>
      </c>
      <c r="H24" s="15" t="s">
        <v>34</v>
      </c>
      <c r="I24" s="15" t="s">
        <v>40</v>
      </c>
      <c r="J24" s="40">
        <v>2.1800000000000002</v>
      </c>
      <c r="K24" s="41">
        <v>64.180000000000007</v>
      </c>
      <c r="L24" s="17">
        <v>1.2106440745603586</v>
      </c>
      <c r="M24" s="42">
        <v>390.62900000000002</v>
      </c>
      <c r="N24" s="19">
        <v>10.352751436142373</v>
      </c>
      <c r="O24" s="43">
        <v>0.54</v>
      </c>
      <c r="P24" s="17">
        <v>1.1811144412124467E-2</v>
      </c>
      <c r="Q24" s="44">
        <v>241</v>
      </c>
      <c r="R24" s="18">
        <v>4.041642832386537</v>
      </c>
      <c r="S24" s="30">
        <f t="shared" si="5"/>
        <v>2.0401582991546423</v>
      </c>
      <c r="T24" s="17">
        <f t="shared" si="2"/>
        <v>2.3093469599999992</v>
      </c>
      <c r="U24" s="17">
        <f t="shared" si="3"/>
        <v>3.6822252077824165</v>
      </c>
      <c r="V24" s="17">
        <f t="shared" si="4"/>
        <v>2.1369835198999994</v>
      </c>
      <c r="W24" s="41"/>
      <c r="X24" s="41"/>
      <c r="Y24" s="41"/>
      <c r="Z24" s="41"/>
      <c r="AA24" s="41"/>
      <c r="AB24" s="41"/>
      <c r="AC24" s="41"/>
      <c r="AD24" s="41"/>
      <c r="AE24" s="45">
        <v>342</v>
      </c>
      <c r="AF24" s="45">
        <v>0.14000000000000001</v>
      </c>
      <c r="AG24" s="45">
        <v>7.04</v>
      </c>
      <c r="AH24" s="45">
        <v>32</v>
      </c>
      <c r="AI24" s="45">
        <v>3</v>
      </c>
      <c r="AJ24" s="27">
        <v>0.55000000000000004</v>
      </c>
      <c r="AK24" s="15"/>
      <c r="AL24" s="46"/>
      <c r="AM24" s="15"/>
      <c r="AN24" s="15"/>
      <c r="AO24" s="45"/>
    </row>
    <row r="25" spans="1:41" x14ac:dyDescent="0.25">
      <c r="A25" s="39"/>
      <c r="B25" s="12">
        <v>80255</v>
      </c>
      <c r="C25" s="19">
        <v>777.24</v>
      </c>
      <c r="D25" s="14">
        <f t="shared" si="6"/>
        <v>2550.0000816000002</v>
      </c>
      <c r="E25" s="13" t="s">
        <v>31</v>
      </c>
      <c r="F25" s="24" t="s">
        <v>32</v>
      </c>
      <c r="G25" s="13" t="s">
        <v>33</v>
      </c>
      <c r="H25" s="15" t="s">
        <v>34</v>
      </c>
      <c r="I25" s="15" t="s">
        <v>40</v>
      </c>
      <c r="J25" s="40">
        <v>3.02</v>
      </c>
      <c r="K25" s="41">
        <v>54.88</v>
      </c>
      <c r="L25" s="17">
        <v>2.0182650410362539</v>
      </c>
      <c r="M25" s="42">
        <v>352.774</v>
      </c>
      <c r="N25" s="19">
        <v>9.1935603600764555</v>
      </c>
      <c r="O25" s="43">
        <v>0.51</v>
      </c>
      <c r="P25" s="17">
        <v>2.328348840143574E-2</v>
      </c>
      <c r="Q25" s="44">
        <v>248</v>
      </c>
      <c r="R25" s="18">
        <v>8.0864516835539639</v>
      </c>
      <c r="S25" s="30">
        <f t="shared" si="5"/>
        <v>3.5071269283856741</v>
      </c>
      <c r="T25" s="17">
        <f t="shared" si="2"/>
        <v>3.3090861534999991</v>
      </c>
      <c r="U25" s="17">
        <f t="shared" si="3"/>
        <v>5.2165533443211949</v>
      </c>
      <c r="V25" s="17">
        <f t="shared" si="4"/>
        <v>3.088462519700002</v>
      </c>
      <c r="W25" s="41">
        <v>55.27</v>
      </c>
      <c r="X25" s="41"/>
      <c r="Y25" s="41">
        <v>338.12799999999999</v>
      </c>
      <c r="Z25" s="41"/>
      <c r="AA25" s="41">
        <v>0.57999999999999996</v>
      </c>
      <c r="AB25" s="41"/>
      <c r="AC25" s="41">
        <v>258.38</v>
      </c>
      <c r="AD25" s="41"/>
      <c r="AE25" s="45">
        <v>440</v>
      </c>
      <c r="AF25" s="45">
        <v>0.19</v>
      </c>
      <c r="AG25" s="45">
        <v>17.61</v>
      </c>
      <c r="AH25" s="45">
        <v>16</v>
      </c>
      <c r="AI25" s="45">
        <v>3</v>
      </c>
      <c r="AJ25" s="22"/>
      <c r="AK25" s="15"/>
      <c r="AL25" s="46"/>
      <c r="AM25" s="15"/>
      <c r="AN25" s="15"/>
      <c r="AO25" s="45"/>
    </row>
    <row r="26" spans="1:41" x14ac:dyDescent="0.25">
      <c r="A26" s="39"/>
      <c r="B26" s="12">
        <v>80256</v>
      </c>
      <c r="C26" s="19">
        <v>798.57600000000002</v>
      </c>
      <c r="D26" s="14">
        <f t="shared" si="6"/>
        <v>2620.0000838400001</v>
      </c>
      <c r="E26" s="13" t="s">
        <v>31</v>
      </c>
      <c r="F26" s="24" t="s">
        <v>32</v>
      </c>
      <c r="G26" s="13" t="s">
        <v>33</v>
      </c>
      <c r="H26" s="15" t="s">
        <v>34</v>
      </c>
      <c r="I26" s="15" t="s">
        <v>40</v>
      </c>
      <c r="J26" s="40">
        <v>3.32</v>
      </c>
      <c r="K26" s="41">
        <v>55.66</v>
      </c>
      <c r="L26" s="17">
        <v>4.8935404222478436</v>
      </c>
      <c r="M26" s="42">
        <v>359.27600000000001</v>
      </c>
      <c r="N26" s="19">
        <v>19.744680518529538</v>
      </c>
      <c r="O26" s="43">
        <v>0.52</v>
      </c>
      <c r="P26" s="17">
        <v>1.6943516450668217E-2</v>
      </c>
      <c r="Q26" s="44">
        <v>247</v>
      </c>
      <c r="R26" s="18">
        <v>12.019044319000947</v>
      </c>
      <c r="S26" s="30">
        <f t="shared" si="5"/>
        <v>3.3513337778144576</v>
      </c>
      <c r="T26" s="17">
        <f t="shared" si="2"/>
        <v>3.1373702840999993</v>
      </c>
      <c r="U26" s="17">
        <f t="shared" si="3"/>
        <v>4.6447165685272598</v>
      </c>
      <c r="V26" s="17">
        <f t="shared" si="4"/>
        <v>2.9525369483000006</v>
      </c>
      <c r="W26" s="41">
        <v>47.89</v>
      </c>
      <c r="X26" s="41"/>
      <c r="Y26" s="41">
        <v>324.81200000000001</v>
      </c>
      <c r="Z26" s="41"/>
      <c r="AA26" s="41">
        <v>0.59</v>
      </c>
      <c r="AB26" s="41"/>
      <c r="AC26" s="41">
        <v>264.08</v>
      </c>
      <c r="AD26" s="41"/>
      <c r="AE26" s="45">
        <v>462</v>
      </c>
      <c r="AF26" s="45">
        <v>0.21</v>
      </c>
      <c r="AG26" s="45">
        <v>3.84</v>
      </c>
      <c r="AH26" s="45">
        <v>35</v>
      </c>
      <c r="AI26" s="45">
        <v>4</v>
      </c>
      <c r="AJ26" s="22"/>
      <c r="AK26" s="15"/>
      <c r="AL26" s="46"/>
      <c r="AM26" s="15"/>
      <c r="AN26" s="15"/>
      <c r="AO26" s="45"/>
    </row>
    <row r="27" spans="1:41" x14ac:dyDescent="0.25">
      <c r="A27" s="39"/>
      <c r="B27" s="12">
        <v>80273</v>
      </c>
      <c r="C27" s="19">
        <v>804.67200000000003</v>
      </c>
      <c r="D27" s="14">
        <f t="shared" si="6"/>
        <v>2640.0000844800002</v>
      </c>
      <c r="E27" s="13" t="s">
        <v>31</v>
      </c>
      <c r="F27" s="24" t="s">
        <v>32</v>
      </c>
      <c r="G27" s="13" t="s">
        <v>33</v>
      </c>
      <c r="H27" s="15" t="s">
        <v>34</v>
      </c>
      <c r="I27" s="15" t="s">
        <v>40</v>
      </c>
      <c r="J27" s="48">
        <v>3.52</v>
      </c>
      <c r="K27" s="41">
        <v>54.18</v>
      </c>
      <c r="L27" s="17">
        <v>0.66018947410597084</v>
      </c>
      <c r="M27" s="42">
        <v>351.36900000000003</v>
      </c>
      <c r="N27" s="19">
        <v>9.8032111042183381</v>
      </c>
      <c r="O27" s="43">
        <v>0.52</v>
      </c>
      <c r="P27" s="17">
        <v>1.1911333217845713E-2</v>
      </c>
      <c r="Q27" s="44">
        <v>252</v>
      </c>
      <c r="R27" s="18">
        <v>5.7258846257498934</v>
      </c>
      <c r="S27" s="30">
        <f t="shared" si="5"/>
        <v>3.6530978456633627</v>
      </c>
      <c r="T27" s="17">
        <f t="shared" si="2"/>
        <v>3.346191782</v>
      </c>
      <c r="U27" s="17">
        <f t="shared" si="3"/>
        <v>4.6447165685272598</v>
      </c>
      <c r="V27" s="17">
        <f t="shared" si="4"/>
        <v>3.6321648053000004</v>
      </c>
      <c r="W27" s="41"/>
      <c r="X27" s="41"/>
      <c r="Y27" s="41"/>
      <c r="Z27" s="41"/>
      <c r="AA27" s="41"/>
      <c r="AB27" s="41"/>
      <c r="AC27" s="41"/>
      <c r="AD27" s="41"/>
      <c r="AE27" s="45">
        <v>478</v>
      </c>
      <c r="AF27" s="45">
        <v>0.26</v>
      </c>
      <c r="AG27" s="45">
        <v>5.24</v>
      </c>
      <c r="AH27" s="45">
        <v>31</v>
      </c>
      <c r="AI27" s="45">
        <v>3</v>
      </c>
      <c r="AJ27" s="27"/>
      <c r="AK27" s="15"/>
      <c r="AL27" s="46"/>
      <c r="AM27" s="15"/>
      <c r="AN27" s="15"/>
      <c r="AO27" s="45"/>
    </row>
    <row r="28" spans="1:41" x14ac:dyDescent="0.25">
      <c r="B28" s="12">
        <v>80257</v>
      </c>
      <c r="C28" s="19">
        <v>816.86400000000003</v>
      </c>
      <c r="D28" s="14">
        <f t="shared" si="6"/>
        <v>2680.0000857600003</v>
      </c>
      <c r="E28" s="13" t="s">
        <v>31</v>
      </c>
      <c r="F28" s="24" t="s">
        <v>32</v>
      </c>
      <c r="G28" s="13" t="s">
        <v>33</v>
      </c>
      <c r="H28" s="15" t="s">
        <v>41</v>
      </c>
      <c r="I28" s="15" t="s">
        <v>42</v>
      </c>
      <c r="J28" s="40">
        <v>4</v>
      </c>
      <c r="K28" s="41">
        <v>45.34837259999999</v>
      </c>
      <c r="L28" s="17">
        <v>1.334723786162068</v>
      </c>
      <c r="M28" s="42">
        <v>333.362377959529</v>
      </c>
      <c r="N28" s="19">
        <v>11.976584920048149</v>
      </c>
      <c r="O28" s="43">
        <v>0.52740926196721805</v>
      </c>
      <c r="P28" s="17">
        <v>2.4538440078083108E-2</v>
      </c>
      <c r="Q28" s="44">
        <v>270.47047480000003</v>
      </c>
      <c r="R28" s="18">
        <v>1.7376866792974111</v>
      </c>
      <c r="S28" s="30">
        <f t="shared" si="5"/>
        <v>6.110816118073001</v>
      </c>
      <c r="T28" s="17">
        <f t="shared" si="2"/>
        <v>3.821741268102226</v>
      </c>
      <c r="U28" s="17">
        <f t="shared" si="3"/>
        <v>4.2618526705907005</v>
      </c>
      <c r="V28" s="17">
        <f t="shared" si="4"/>
        <v>6.1427746465193067</v>
      </c>
      <c r="W28" s="41"/>
      <c r="X28" s="41"/>
      <c r="Y28" s="41"/>
      <c r="Z28" s="41"/>
      <c r="AA28" s="41"/>
      <c r="AB28" s="41"/>
      <c r="AC28" s="41"/>
      <c r="AD28" s="41"/>
      <c r="AE28" s="45">
        <v>451</v>
      </c>
      <c r="AF28" s="45">
        <v>0.24</v>
      </c>
      <c r="AG28" s="45">
        <v>2.0099999999999998</v>
      </c>
      <c r="AH28" s="45">
        <v>45</v>
      </c>
      <c r="AI28" s="45">
        <v>4</v>
      </c>
      <c r="AJ28" s="27">
        <v>0.6</v>
      </c>
      <c r="AK28" s="15"/>
      <c r="AL28" s="46"/>
      <c r="AM28" s="15"/>
      <c r="AN28" s="15"/>
      <c r="AO28" s="45"/>
    </row>
    <row r="29" spans="1:41" x14ac:dyDescent="0.25">
      <c r="B29" s="12">
        <v>80274</v>
      </c>
      <c r="C29" s="19">
        <v>832.10400000000004</v>
      </c>
      <c r="D29" s="14">
        <f t="shared" si="6"/>
        <v>2730.0000873600002</v>
      </c>
      <c r="E29" s="13" t="s">
        <v>31</v>
      </c>
      <c r="F29" s="24" t="s">
        <v>32</v>
      </c>
      <c r="G29" s="13" t="s">
        <v>33</v>
      </c>
      <c r="H29" s="15" t="s">
        <v>41</v>
      </c>
      <c r="I29" s="15" t="s">
        <v>42</v>
      </c>
      <c r="J29" s="40">
        <v>3.21</v>
      </c>
      <c r="K29" s="41">
        <v>47.89</v>
      </c>
      <c r="L29" s="17">
        <v>0.84775837629813577</v>
      </c>
      <c r="M29" s="42">
        <v>334.04300000000001</v>
      </c>
      <c r="N29" s="19">
        <v>6.7615518685795166</v>
      </c>
      <c r="O29" s="43">
        <v>0.54</v>
      </c>
      <c r="P29" s="17">
        <v>1.7783804250311959E-2</v>
      </c>
      <c r="Q29" s="16"/>
      <c r="R29" s="18">
        <v>2.1749787180601157</v>
      </c>
      <c r="S29" s="30">
        <f t="shared" si="5"/>
        <v>5.2698310659389387</v>
      </c>
      <c r="T29" s="17">
        <f t="shared" si="2"/>
        <v>3.8037662442000002</v>
      </c>
      <c r="U29" s="17">
        <f t="shared" si="3"/>
        <v>3.6822252077824165</v>
      </c>
      <c r="V29" s="17" t="s">
        <v>73</v>
      </c>
      <c r="W29" s="41"/>
      <c r="X29" s="41"/>
      <c r="Y29" s="41"/>
      <c r="Z29" s="41"/>
      <c r="AA29" s="41"/>
      <c r="AB29" s="41"/>
      <c r="AC29" s="41"/>
      <c r="AD29" s="41"/>
      <c r="AE29" s="45">
        <v>430</v>
      </c>
      <c r="AF29" s="45">
        <v>0.26</v>
      </c>
      <c r="AG29" s="45">
        <v>1.52</v>
      </c>
      <c r="AH29" s="45">
        <v>72</v>
      </c>
      <c r="AI29" s="45">
        <v>5</v>
      </c>
      <c r="AJ29" s="27">
        <v>0.49</v>
      </c>
      <c r="AO29" s="45"/>
    </row>
    <row r="30" spans="1:41" x14ac:dyDescent="0.25">
      <c r="B30" s="12">
        <v>80258</v>
      </c>
      <c r="C30" s="19">
        <v>847.34400000000005</v>
      </c>
      <c r="D30" s="14">
        <f t="shared" si="6"/>
        <v>2780.0000889600001</v>
      </c>
      <c r="E30" s="13" t="s">
        <v>31</v>
      </c>
      <c r="F30" s="24" t="s">
        <v>32</v>
      </c>
      <c r="G30" s="13" t="s">
        <v>33</v>
      </c>
      <c r="H30" s="15" t="s">
        <v>41</v>
      </c>
      <c r="I30" s="15" t="s">
        <v>42</v>
      </c>
      <c r="J30" s="40">
        <v>2.21</v>
      </c>
      <c r="K30" s="41">
        <v>65.86</v>
      </c>
      <c r="L30" s="17">
        <v>2.3661399709368931</v>
      </c>
      <c r="M30" s="42">
        <v>401.71600000000001</v>
      </c>
      <c r="N30" s="19">
        <v>3.3122013014728902</v>
      </c>
      <c r="O30" s="43">
        <v>0.55000000000000004</v>
      </c>
      <c r="P30" s="17">
        <v>3.8204656680883117E-2</v>
      </c>
      <c r="Q30" s="44">
        <v>238</v>
      </c>
      <c r="R30" s="18">
        <v>5.7106866809244643</v>
      </c>
      <c r="S30" s="30">
        <f t="shared" si="5"/>
        <v>1.8499513040902276</v>
      </c>
      <c r="T30" s="17">
        <f t="shared" si="2"/>
        <v>2.0165426161000006</v>
      </c>
      <c r="U30" s="17">
        <f t="shared" si="3"/>
        <v>3.2785809523550915</v>
      </c>
      <c r="V30" s="17">
        <f t="shared" si="4"/>
        <v>1.7292068057000023</v>
      </c>
      <c r="W30" s="49">
        <v>88.56</v>
      </c>
      <c r="X30" s="41"/>
      <c r="Y30" s="41">
        <v>520.072</v>
      </c>
      <c r="Z30" s="41"/>
      <c r="AA30" s="41">
        <v>0.74</v>
      </c>
      <c r="AB30" s="41"/>
      <c r="AC30" s="41">
        <v>254.61</v>
      </c>
      <c r="AD30" s="49"/>
      <c r="AE30" s="45">
        <v>400</v>
      </c>
      <c r="AF30" s="45">
        <v>0.26</v>
      </c>
      <c r="AG30" s="45">
        <v>0.83</v>
      </c>
      <c r="AH30" s="45">
        <v>49</v>
      </c>
      <c r="AI30" s="45">
        <v>18</v>
      </c>
      <c r="AJ30" s="27">
        <v>0.46</v>
      </c>
      <c r="AK30" s="15"/>
      <c r="AL30" s="46"/>
      <c r="AM30" s="15"/>
      <c r="AN30" s="15"/>
      <c r="AO30" s="45"/>
    </row>
    <row r="31" spans="1:41" x14ac:dyDescent="0.25">
      <c r="B31" s="12">
        <v>80259</v>
      </c>
      <c r="C31" s="19">
        <v>1030.2240000000002</v>
      </c>
      <c r="D31" s="14">
        <f t="shared" si="6"/>
        <v>3380.0001081600003</v>
      </c>
      <c r="E31" s="13" t="s">
        <v>31</v>
      </c>
      <c r="F31" s="24" t="s">
        <v>32</v>
      </c>
      <c r="G31" s="13" t="s">
        <v>33</v>
      </c>
      <c r="H31" s="15" t="s">
        <v>41</v>
      </c>
      <c r="I31" s="15" t="s">
        <v>42</v>
      </c>
      <c r="J31" s="40">
        <v>3.74</v>
      </c>
      <c r="K31" s="41">
        <v>51.47</v>
      </c>
      <c r="L31" s="17">
        <v>1.6359802549079101</v>
      </c>
      <c r="M31" s="42">
        <v>395.57100000000003</v>
      </c>
      <c r="N31" s="19">
        <v>21.475381297547383</v>
      </c>
      <c r="O31" s="43">
        <v>1.18</v>
      </c>
      <c r="P31" s="17">
        <v>0.10662776906882582</v>
      </c>
      <c r="Q31" s="44">
        <v>250</v>
      </c>
      <c r="R31" s="18">
        <v>1.856133040937433</v>
      </c>
      <c r="S31" s="30">
        <f t="shared" si="5"/>
        <v>4.2778308727851995</v>
      </c>
      <c r="T31" s="17">
        <f t="shared" si="2"/>
        <v>2.1788302226000003</v>
      </c>
      <c r="U31" s="17">
        <f t="shared" si="3"/>
        <v>2.1824609628714711E-3</v>
      </c>
      <c r="V31" s="17">
        <f t="shared" si="4"/>
        <v>3.3603136624999976</v>
      </c>
      <c r="AE31" s="45">
        <v>443</v>
      </c>
      <c r="AF31" s="45">
        <v>0.39</v>
      </c>
      <c r="AG31" s="45">
        <v>1.67</v>
      </c>
      <c r="AH31" s="45">
        <v>93</v>
      </c>
      <c r="AI31" s="45">
        <v>5</v>
      </c>
      <c r="AJ31" s="22">
        <v>0.56999999999999995</v>
      </c>
      <c r="AK31" s="15"/>
      <c r="AL31" s="46"/>
      <c r="AM31" s="15"/>
      <c r="AN31" s="15"/>
      <c r="AO31" s="45"/>
    </row>
    <row r="32" spans="1:41" x14ac:dyDescent="0.25">
      <c r="B32" s="12">
        <v>80260</v>
      </c>
      <c r="C32" s="19">
        <v>1036.3200000000002</v>
      </c>
      <c r="D32" s="14">
        <f t="shared" si="6"/>
        <v>3400.0001088000004</v>
      </c>
      <c r="E32" s="13" t="s">
        <v>31</v>
      </c>
      <c r="F32" s="24" t="s">
        <v>32</v>
      </c>
      <c r="G32" s="13" t="s">
        <v>33</v>
      </c>
      <c r="H32" s="15" t="s">
        <v>41</v>
      </c>
      <c r="I32" s="15" t="s">
        <v>42</v>
      </c>
      <c r="J32" s="40">
        <v>3.54</v>
      </c>
      <c r="K32" s="41">
        <v>50.87</v>
      </c>
      <c r="L32" s="17">
        <v>2.675542760243407</v>
      </c>
      <c r="M32" s="42">
        <v>382.74099999999999</v>
      </c>
      <c r="N32" s="19">
        <v>18.230437497677485</v>
      </c>
      <c r="O32" s="43">
        <v>1.18</v>
      </c>
      <c r="P32" s="17">
        <v>6.4592159819520489E-2</v>
      </c>
      <c r="Q32" s="44">
        <v>252</v>
      </c>
      <c r="R32" s="18">
        <v>1.0170214672449631</v>
      </c>
      <c r="S32" s="30">
        <f t="shared" si="5"/>
        <v>4.4299972509349637</v>
      </c>
      <c r="T32" s="17">
        <f t="shared" si="2"/>
        <v>2.5176666735999991</v>
      </c>
      <c r="U32" s="17">
        <f t="shared" si="3"/>
        <v>2.1824609628714711E-3</v>
      </c>
      <c r="V32" s="17">
        <f t="shared" si="4"/>
        <v>3.6321648053000004</v>
      </c>
      <c r="W32" s="41"/>
      <c r="X32" s="41"/>
      <c r="Y32" s="41"/>
      <c r="Z32" s="41"/>
      <c r="AA32" s="41"/>
      <c r="AB32" s="41"/>
      <c r="AC32" s="41"/>
      <c r="AD32" s="41"/>
      <c r="AE32" s="45">
        <v>451</v>
      </c>
      <c r="AF32" s="45">
        <v>0.35</v>
      </c>
      <c r="AG32" s="45">
        <v>2.87</v>
      </c>
      <c r="AH32" s="45">
        <v>96</v>
      </c>
      <c r="AI32" s="45">
        <v>6</v>
      </c>
      <c r="AJ32" s="27">
        <v>0.64</v>
      </c>
      <c r="AK32" s="15"/>
      <c r="AL32" s="46"/>
      <c r="AM32" s="15"/>
      <c r="AN32" s="15"/>
      <c r="AO32" s="45"/>
    </row>
    <row r="33" spans="1:41" x14ac:dyDescent="0.25">
      <c r="B33" s="12">
        <v>80275</v>
      </c>
      <c r="C33" s="19">
        <v>1054.6079999999999</v>
      </c>
      <c r="D33" s="14">
        <f t="shared" si="6"/>
        <v>3460.0001107199996</v>
      </c>
      <c r="E33" s="13" t="s">
        <v>31</v>
      </c>
      <c r="F33" s="24" t="s">
        <v>32</v>
      </c>
      <c r="G33" s="13" t="s">
        <v>33</v>
      </c>
      <c r="H33" s="15" t="s">
        <v>41</v>
      </c>
      <c r="I33" s="15" t="s">
        <v>42</v>
      </c>
      <c r="J33" s="40">
        <v>3.17</v>
      </c>
      <c r="K33" s="41">
        <v>48.04</v>
      </c>
      <c r="L33" s="17">
        <v>2.9898300600653824</v>
      </c>
      <c r="M33" s="42">
        <v>364.21600000000001</v>
      </c>
      <c r="N33" s="19">
        <v>28.349046304846532</v>
      </c>
      <c r="O33" s="43">
        <v>1.1299999999999999</v>
      </c>
      <c r="P33" s="17">
        <v>4.4151335408944267E-2</v>
      </c>
      <c r="Q33" s="44">
        <v>251</v>
      </c>
      <c r="R33" s="18">
        <v>1.7889662253394887</v>
      </c>
      <c r="S33" s="30">
        <f t="shared" si="5"/>
        <v>5.2239827206888254</v>
      </c>
      <c r="T33" s="17">
        <f t="shared" si="2"/>
        <v>3.0069063660999991</v>
      </c>
      <c r="U33" s="17">
        <f t="shared" si="3"/>
        <v>3.9000364059418743E-3</v>
      </c>
      <c r="V33" s="17">
        <f t="shared" si="4"/>
        <v>3.496239233899999</v>
      </c>
      <c r="W33" s="41"/>
      <c r="X33" s="41"/>
      <c r="Y33" s="41"/>
      <c r="Z33" s="41"/>
      <c r="AA33" s="41"/>
      <c r="AB33" s="41"/>
      <c r="AC33" s="41"/>
      <c r="AD33" s="41"/>
      <c r="AE33" s="50"/>
      <c r="AF33" s="50"/>
      <c r="AG33" s="50"/>
      <c r="AH33" s="50"/>
      <c r="AI33" s="50"/>
      <c r="AJ33" s="22"/>
      <c r="AO33" s="45"/>
    </row>
    <row r="34" spans="1:41" x14ac:dyDescent="0.25">
      <c r="B34" s="12">
        <v>80261</v>
      </c>
      <c r="C34" s="19">
        <v>1082.04</v>
      </c>
      <c r="D34" s="14">
        <f t="shared" si="6"/>
        <v>3550.0001136000001</v>
      </c>
      <c r="E34" s="13" t="s">
        <v>31</v>
      </c>
      <c r="F34" s="24" t="s">
        <v>32</v>
      </c>
      <c r="G34" s="13" t="s">
        <v>33</v>
      </c>
      <c r="H34" s="15" t="s">
        <v>41</v>
      </c>
      <c r="I34" s="15" t="s">
        <v>42</v>
      </c>
      <c r="J34" s="40">
        <v>2.11</v>
      </c>
      <c r="K34" s="41">
        <v>59.7</v>
      </c>
      <c r="L34" s="17">
        <v>1.6932064736834669</v>
      </c>
      <c r="M34" s="42">
        <v>405.06599999999997</v>
      </c>
      <c r="N34" s="19">
        <v>24.109189913684297</v>
      </c>
      <c r="O34" s="43">
        <v>0.56999999999999995</v>
      </c>
      <c r="P34" s="17">
        <v>2.1317069933778344E-2</v>
      </c>
      <c r="Q34" s="19">
        <v>260.58999999999997</v>
      </c>
      <c r="R34" s="18">
        <v>3.9516148321143434</v>
      </c>
      <c r="S34" s="30">
        <f t="shared" si="5"/>
        <v>2.6485411122111322</v>
      </c>
      <c r="T34" s="17">
        <f t="shared" si="2"/>
        <v>1.9280701210999993</v>
      </c>
      <c r="U34" s="17">
        <f t="shared" si="3"/>
        <v>2.5991840945302598</v>
      </c>
      <c r="V34" s="17">
        <f t="shared" si="4"/>
        <v>4.7997654636259952</v>
      </c>
      <c r="W34" s="41"/>
      <c r="X34" s="41"/>
      <c r="Y34" s="41"/>
      <c r="Z34" s="41"/>
      <c r="AA34" s="41"/>
      <c r="AB34" s="41"/>
      <c r="AC34" s="41"/>
      <c r="AD34" s="41"/>
      <c r="AE34" s="45">
        <v>362</v>
      </c>
      <c r="AF34" s="45">
        <v>0.41</v>
      </c>
      <c r="AG34" s="45">
        <v>2.48</v>
      </c>
      <c r="AH34" s="45">
        <v>21</v>
      </c>
      <c r="AI34" s="45">
        <v>5</v>
      </c>
      <c r="AJ34" s="22"/>
      <c r="AK34" s="15"/>
      <c r="AL34" s="46"/>
      <c r="AM34" s="15"/>
      <c r="AN34" s="15"/>
      <c r="AO34" s="45"/>
    </row>
    <row r="35" spans="1:41" x14ac:dyDescent="0.25">
      <c r="B35" s="12">
        <v>80262</v>
      </c>
      <c r="C35" s="19">
        <v>1097.28</v>
      </c>
      <c r="D35" s="14">
        <f t="shared" si="6"/>
        <v>3600.0001152</v>
      </c>
      <c r="E35" s="13" t="s">
        <v>31</v>
      </c>
      <c r="F35" s="24" t="s">
        <v>32</v>
      </c>
      <c r="G35" s="13" t="s">
        <v>33</v>
      </c>
      <c r="H35" s="15" t="s">
        <v>41</v>
      </c>
      <c r="I35" s="15" t="s">
        <v>42</v>
      </c>
      <c r="J35" s="40">
        <v>2.38</v>
      </c>
      <c r="K35" s="41">
        <v>62.87</v>
      </c>
      <c r="L35" s="17">
        <v>1.870473171792131</v>
      </c>
      <c r="M35" s="42">
        <v>392.67200000000003</v>
      </c>
      <c r="N35" s="19">
        <v>24.784120827863411</v>
      </c>
      <c r="O35" s="43">
        <v>0.55000000000000004</v>
      </c>
      <c r="P35" s="17">
        <v>1.2016656050340855E-2</v>
      </c>
      <c r="Q35" s="44">
        <v>245</v>
      </c>
      <c r="R35" s="18">
        <v>4.8197153854893307</v>
      </c>
      <c r="S35" s="30">
        <f t="shared" si="5"/>
        <v>2.2019453232570645</v>
      </c>
      <c r="T35" s="17">
        <f t="shared" si="2"/>
        <v>2.2553919428999993</v>
      </c>
      <c r="U35" s="17">
        <f t="shared" si="3"/>
        <v>3.2785809523550915</v>
      </c>
      <c r="V35" s="17">
        <f t="shared" si="4"/>
        <v>2.6806858054999978</v>
      </c>
      <c r="W35" s="41"/>
      <c r="X35" s="41"/>
      <c r="Y35" s="41"/>
      <c r="Z35" s="41"/>
      <c r="AA35" s="41"/>
      <c r="AB35" s="41"/>
      <c r="AC35" s="41"/>
      <c r="AD35" s="41"/>
      <c r="AE35" s="50"/>
      <c r="AF35" s="50"/>
      <c r="AG35" s="50"/>
      <c r="AH35" s="50"/>
      <c r="AI35" s="50"/>
      <c r="AJ35" s="27">
        <v>0.78</v>
      </c>
      <c r="AK35" s="15"/>
      <c r="AL35" s="46"/>
      <c r="AM35" s="15"/>
      <c r="AN35" s="15"/>
      <c r="AO35" s="45"/>
    </row>
    <row r="36" spans="1:41" x14ac:dyDescent="0.25">
      <c r="A36" s="39"/>
      <c r="B36" s="12">
        <v>80263</v>
      </c>
      <c r="C36" s="19">
        <v>1124.712</v>
      </c>
      <c r="D36" s="14">
        <f t="shared" si="6"/>
        <v>3690.00011808</v>
      </c>
      <c r="E36" s="13" t="s">
        <v>31</v>
      </c>
      <c r="F36" s="24" t="s">
        <v>32</v>
      </c>
      <c r="G36" s="13" t="s">
        <v>33</v>
      </c>
      <c r="H36" s="15" t="s">
        <v>41</v>
      </c>
      <c r="I36" s="15" t="s">
        <v>42</v>
      </c>
      <c r="J36" s="40">
        <v>1.44</v>
      </c>
      <c r="K36" s="41">
        <v>69.12</v>
      </c>
      <c r="L36" s="17">
        <v>1.2313978296053636</v>
      </c>
      <c r="M36" s="42">
        <v>401.24099999999999</v>
      </c>
      <c r="N36" s="19">
        <v>6.6916906630709905</v>
      </c>
      <c r="O36" s="43">
        <v>0.54</v>
      </c>
      <c r="P36" s="17">
        <v>1.4200447067619838E-2</v>
      </c>
      <c r="Q36" s="44">
        <v>237</v>
      </c>
      <c r="R36" s="18">
        <v>3.503492604226337</v>
      </c>
      <c r="S36" s="30">
        <f t="shared" si="5"/>
        <v>1.5299707632738258</v>
      </c>
      <c r="T36" s="17">
        <f t="shared" si="2"/>
        <v>2.0290872235999995</v>
      </c>
      <c r="U36" s="17">
        <f t="shared" si="3"/>
        <v>3.6822252077824165</v>
      </c>
      <c r="V36" s="17">
        <f t="shared" si="4"/>
        <v>1.5932812343000009</v>
      </c>
      <c r="W36" s="41">
        <v>70.08</v>
      </c>
      <c r="X36" s="41"/>
      <c r="Y36" s="41">
        <v>369.327</v>
      </c>
      <c r="Z36" s="41"/>
      <c r="AA36" s="41">
        <v>0.57999999999999996</v>
      </c>
      <c r="AB36" s="41"/>
      <c r="AC36" s="41">
        <v>260.39999999999998</v>
      </c>
      <c r="AD36" s="41"/>
      <c r="AE36" s="45">
        <v>472</v>
      </c>
      <c r="AF36" s="45">
        <v>0.18</v>
      </c>
      <c r="AG36" s="45">
        <v>11.69</v>
      </c>
      <c r="AH36" s="45">
        <v>76</v>
      </c>
      <c r="AI36" s="45">
        <v>5</v>
      </c>
      <c r="AJ36" s="27"/>
      <c r="AK36" s="15"/>
      <c r="AL36" s="46"/>
      <c r="AM36" s="15"/>
      <c r="AN36" s="15"/>
      <c r="AO36" s="45"/>
    </row>
    <row r="37" spans="1:41" x14ac:dyDescent="0.25">
      <c r="A37" s="39"/>
      <c r="B37" s="12">
        <v>80264</v>
      </c>
      <c r="C37" s="19">
        <v>1136.904</v>
      </c>
      <c r="D37" s="14">
        <f t="shared" si="6"/>
        <v>3730.0001193600001</v>
      </c>
      <c r="E37" s="13" t="s">
        <v>31</v>
      </c>
      <c r="F37" s="24" t="s">
        <v>32</v>
      </c>
      <c r="G37" s="13" t="s">
        <v>33</v>
      </c>
      <c r="H37" s="15" t="s">
        <v>41</v>
      </c>
      <c r="I37" s="15" t="s">
        <v>42</v>
      </c>
      <c r="J37" s="40">
        <v>1.26</v>
      </c>
      <c r="K37" s="41">
        <v>70.92</v>
      </c>
      <c r="L37" s="17">
        <v>1.6143130970857862</v>
      </c>
      <c r="M37" s="42">
        <v>414.35899999999998</v>
      </c>
      <c r="N37" s="19">
        <v>28.420070286569008</v>
      </c>
      <c r="O37" s="43">
        <v>0.56999999999999995</v>
      </c>
      <c r="P37" s="17">
        <v>4.0851493972024866E-2</v>
      </c>
      <c r="Q37" s="44">
        <v>238</v>
      </c>
      <c r="R37" s="18">
        <v>4.5748873996081176</v>
      </c>
      <c r="S37" s="30">
        <f t="shared" si="5"/>
        <v>1.3776648977285433</v>
      </c>
      <c r="T37" s="17">
        <f t="shared" si="2"/>
        <v>1.6826447790000003</v>
      </c>
      <c r="U37" s="17">
        <f t="shared" si="3"/>
        <v>2.5991840945302598</v>
      </c>
      <c r="V37" s="17">
        <f t="shared" si="4"/>
        <v>1.7292068057000023</v>
      </c>
      <c r="W37" s="41"/>
      <c r="X37" s="41"/>
      <c r="Y37" s="41"/>
      <c r="Z37" s="41"/>
      <c r="AA37" s="41"/>
      <c r="AB37" s="41"/>
      <c r="AC37" s="41"/>
      <c r="AD37" s="41"/>
      <c r="AE37" s="45">
        <v>462</v>
      </c>
      <c r="AF37" s="45">
        <v>0.14000000000000001</v>
      </c>
      <c r="AG37" s="45">
        <v>2.2599999999999998</v>
      </c>
      <c r="AH37" s="45">
        <v>741</v>
      </c>
      <c r="AI37" s="45">
        <v>30</v>
      </c>
      <c r="AJ37" s="22"/>
      <c r="AK37" s="15"/>
      <c r="AL37" s="46"/>
      <c r="AM37" s="15"/>
      <c r="AN37" s="15"/>
      <c r="AO37" s="45"/>
    </row>
    <row r="38" spans="1:41" x14ac:dyDescent="0.25">
      <c r="A38" s="39"/>
      <c r="B38" s="12">
        <v>80265</v>
      </c>
      <c r="C38" s="19">
        <v>1194.816</v>
      </c>
      <c r="D38" s="14">
        <f t="shared" si="6"/>
        <v>3920.0001254399999</v>
      </c>
      <c r="E38" s="13" t="s">
        <v>31</v>
      </c>
      <c r="F38" s="24" t="s">
        <v>32</v>
      </c>
      <c r="G38" s="13" t="s">
        <v>33</v>
      </c>
      <c r="H38" s="15" t="s">
        <v>41</v>
      </c>
      <c r="I38" s="15" t="s">
        <v>42</v>
      </c>
      <c r="J38" s="40">
        <v>1.56</v>
      </c>
      <c r="K38" s="41">
        <v>68.53</v>
      </c>
      <c r="L38" s="17">
        <v>0.85100870510495807</v>
      </c>
      <c r="M38" s="42">
        <v>402.83800000000002</v>
      </c>
      <c r="N38" s="19">
        <v>13.219577961578816</v>
      </c>
      <c r="O38" s="43">
        <v>0.55000000000000004</v>
      </c>
      <c r="P38" s="17">
        <v>2.2076019071953636E-2</v>
      </c>
      <c r="Q38" s="44">
        <v>239</v>
      </c>
      <c r="R38" s="18">
        <v>4.5101772336335868</v>
      </c>
      <c r="S38" s="30">
        <f t="shared" si="5"/>
        <v>1.5834705138004532</v>
      </c>
      <c r="T38" s="17">
        <f t="shared" si="2"/>
        <v>1.986910932699999</v>
      </c>
      <c r="U38" s="17">
        <f t="shared" si="3"/>
        <v>3.2785809523550915</v>
      </c>
      <c r="V38" s="17">
        <f t="shared" si="4"/>
        <v>1.8651323770999966</v>
      </c>
      <c r="W38" s="41">
        <v>75.61</v>
      </c>
      <c r="X38" s="41"/>
      <c r="Y38" s="41">
        <v>379.61599999999999</v>
      </c>
      <c r="Z38" s="41"/>
      <c r="AA38" s="41">
        <v>0.59</v>
      </c>
      <c r="AB38" s="41"/>
      <c r="AC38" s="41">
        <v>252.5</v>
      </c>
      <c r="AD38" s="41"/>
      <c r="AE38" s="45">
        <v>447</v>
      </c>
      <c r="AF38" s="45">
        <v>0.15</v>
      </c>
      <c r="AG38" s="45">
        <v>5.64</v>
      </c>
      <c r="AH38" s="45">
        <v>101</v>
      </c>
      <c r="AI38" s="45">
        <v>6</v>
      </c>
      <c r="AJ38" s="22">
        <v>0.45</v>
      </c>
      <c r="AK38" s="15"/>
      <c r="AL38" s="46"/>
      <c r="AM38" s="15"/>
      <c r="AN38" s="15"/>
      <c r="AO38" s="45"/>
    </row>
    <row r="39" spans="1:41" x14ac:dyDescent="0.25">
      <c r="A39" s="39"/>
      <c r="B39" s="12">
        <v>80266</v>
      </c>
      <c r="C39" s="19">
        <v>1210.056</v>
      </c>
      <c r="D39" s="14">
        <f t="shared" si="6"/>
        <v>3970.0001270400003</v>
      </c>
      <c r="E39" s="13" t="s">
        <v>31</v>
      </c>
      <c r="F39" s="24" t="s">
        <v>32</v>
      </c>
      <c r="G39" s="13" t="s">
        <v>33</v>
      </c>
      <c r="H39" s="15" t="s">
        <v>41</v>
      </c>
      <c r="I39" s="15" t="s">
        <v>42</v>
      </c>
      <c r="J39" s="40">
        <v>1.35</v>
      </c>
      <c r="K39" s="41">
        <v>69.12</v>
      </c>
      <c r="L39" s="17">
        <v>1.7342789286849709</v>
      </c>
      <c r="M39" s="42">
        <v>409.87700000000001</v>
      </c>
      <c r="N39" s="19">
        <v>14.819834321921075</v>
      </c>
      <c r="O39" s="43">
        <v>0.56000000000000005</v>
      </c>
      <c r="P39" s="17">
        <v>2.3829432036509765E-2</v>
      </c>
      <c r="Q39" s="44">
        <v>237</v>
      </c>
      <c r="R39" s="18">
        <v>3.1240987740693185</v>
      </c>
      <c r="S39" s="30">
        <f t="shared" si="5"/>
        <v>1.5299707632738258</v>
      </c>
      <c r="T39" s="17">
        <f t="shared" si="2"/>
        <v>1.8010130544000003</v>
      </c>
      <c r="U39" s="17">
        <f t="shared" si="3"/>
        <v>2.9191840407879761</v>
      </c>
      <c r="V39" s="17">
        <f t="shared" si="4"/>
        <v>1.5932812343000009</v>
      </c>
      <c r="W39" s="41"/>
      <c r="X39" s="41"/>
      <c r="Y39" s="41"/>
      <c r="Z39" s="41"/>
      <c r="AA39" s="41"/>
      <c r="AB39" s="41"/>
      <c r="AC39" s="41"/>
      <c r="AD39" s="41"/>
      <c r="AE39" s="45">
        <v>453</v>
      </c>
      <c r="AF39" s="45">
        <v>0.12</v>
      </c>
      <c r="AG39" s="45">
        <v>2.38</v>
      </c>
      <c r="AH39" s="45">
        <v>74</v>
      </c>
      <c r="AI39" s="45">
        <v>23</v>
      </c>
      <c r="AJ39" s="22">
        <v>0.62</v>
      </c>
      <c r="AK39" s="15"/>
      <c r="AL39" s="46"/>
      <c r="AM39" s="15"/>
      <c r="AN39" s="15"/>
      <c r="AO39" s="45"/>
    </row>
    <row r="40" spans="1:41" x14ac:dyDescent="0.25">
      <c r="A40" s="39"/>
      <c r="B40" s="12">
        <v>80267</v>
      </c>
      <c r="C40" s="19">
        <v>1222.248</v>
      </c>
      <c r="D40" s="14">
        <f t="shared" si="6"/>
        <v>4010.0001283199999</v>
      </c>
      <c r="E40" s="13" t="s">
        <v>31</v>
      </c>
      <c r="F40" s="24" t="s">
        <v>32</v>
      </c>
      <c r="G40" s="13" t="s">
        <v>33</v>
      </c>
      <c r="H40" s="15" t="s">
        <v>41</v>
      </c>
      <c r="I40" s="15" t="s">
        <v>48</v>
      </c>
      <c r="J40" s="40">
        <v>0.75</v>
      </c>
      <c r="K40" s="41">
        <v>78.209999999999994</v>
      </c>
      <c r="L40" s="17">
        <v>1.341972228977468</v>
      </c>
      <c r="M40" s="42">
        <v>440.154</v>
      </c>
      <c r="N40" s="19">
        <v>17.231769313622202</v>
      </c>
      <c r="O40" s="43">
        <v>0.6</v>
      </c>
      <c r="P40" s="17">
        <v>1.5502339778810015E-2</v>
      </c>
      <c r="Q40" s="44">
        <v>234</v>
      </c>
      <c r="R40" s="18">
        <v>4.1717524600229252</v>
      </c>
      <c r="S40" s="30">
        <f t="shared" si="5"/>
        <v>0.90096612074321969</v>
      </c>
      <c r="T40" s="17">
        <f t="shared" si="2"/>
        <v>1.0014065675000001</v>
      </c>
      <c r="U40" s="17">
        <f t="shared" si="3"/>
        <v>1.8346943970131753</v>
      </c>
      <c r="V40" s="17">
        <f t="shared" si="4"/>
        <v>1.1855045201000003</v>
      </c>
      <c r="W40" s="41"/>
      <c r="X40" s="41"/>
      <c r="Y40" s="41"/>
      <c r="Z40" s="41"/>
      <c r="AA40" s="41"/>
      <c r="AB40" s="41"/>
      <c r="AC40" s="41"/>
      <c r="AD40" s="41"/>
      <c r="AE40" s="45">
        <v>439</v>
      </c>
      <c r="AF40" s="45">
        <v>0.06</v>
      </c>
      <c r="AG40" s="45">
        <v>13.99</v>
      </c>
      <c r="AH40" s="45">
        <v>187</v>
      </c>
      <c r="AI40" s="45">
        <v>10</v>
      </c>
      <c r="AJ40" s="22"/>
      <c r="AK40" s="15"/>
      <c r="AL40" s="46"/>
      <c r="AM40" s="15"/>
      <c r="AN40" s="15"/>
      <c r="AO40" s="45"/>
    </row>
    <row r="41" spans="1:41" x14ac:dyDescent="0.25">
      <c r="A41" s="39"/>
      <c r="B41" s="12">
        <v>80268</v>
      </c>
      <c r="C41" s="19">
        <v>1280.1600000000001</v>
      </c>
      <c r="D41" s="14">
        <f t="shared" si="6"/>
        <v>4200.0001344000002</v>
      </c>
      <c r="E41" s="13" t="s">
        <v>31</v>
      </c>
      <c r="F41" s="24" t="s">
        <v>32</v>
      </c>
      <c r="G41" s="13" t="s">
        <v>33</v>
      </c>
      <c r="H41" s="15" t="s">
        <v>41</v>
      </c>
      <c r="I41" s="15" t="s">
        <v>48</v>
      </c>
      <c r="J41" s="40">
        <v>0.84</v>
      </c>
      <c r="K41" s="41">
        <v>74.349999999999994</v>
      </c>
      <c r="L41" s="17">
        <v>7.4331928562906819</v>
      </c>
      <c r="M41" s="42">
        <v>463.66899999999998</v>
      </c>
      <c r="N41" s="19">
        <v>26.676365142599685</v>
      </c>
      <c r="O41" s="43">
        <v>0.64</v>
      </c>
      <c r="P41" s="17">
        <v>2.5094857996491093E-2</v>
      </c>
      <c r="Q41" s="44">
        <v>234</v>
      </c>
      <c r="R41" s="18">
        <v>6.7156952053377843</v>
      </c>
      <c r="S41" s="30">
        <f t="shared" si="5"/>
        <v>1.1281464252390434</v>
      </c>
      <c r="T41" s="17">
        <f t="shared" si="2"/>
        <v>0.38038247199999908</v>
      </c>
      <c r="U41" s="17">
        <f t="shared" si="3"/>
        <v>1.1530974009856962</v>
      </c>
      <c r="V41" s="17">
        <f t="shared" si="4"/>
        <v>1.1855045201000003</v>
      </c>
      <c r="W41" s="41"/>
      <c r="X41" s="41"/>
      <c r="Y41" s="41"/>
      <c r="Z41" s="41"/>
      <c r="AA41" s="41"/>
      <c r="AB41" s="41"/>
      <c r="AC41" s="41"/>
      <c r="AD41" s="41"/>
      <c r="AE41" s="45">
        <v>444</v>
      </c>
      <c r="AF41" s="45">
        <v>0.09</v>
      </c>
      <c r="AG41" s="45">
        <v>2.56</v>
      </c>
      <c r="AH41" s="45">
        <v>80</v>
      </c>
      <c r="AI41" s="45">
        <v>18</v>
      </c>
      <c r="AJ41" s="27">
        <v>0.63</v>
      </c>
      <c r="AK41" s="15"/>
      <c r="AL41" s="46"/>
      <c r="AM41" s="15"/>
      <c r="AN41" s="15"/>
      <c r="AO41" s="45"/>
    </row>
    <row r="42" spans="1:41" x14ac:dyDescent="0.25">
      <c r="A42" s="39"/>
      <c r="B42" s="12">
        <v>80277</v>
      </c>
      <c r="C42" s="19">
        <v>1444.7520000000002</v>
      </c>
      <c r="D42" s="14">
        <f t="shared" si="6"/>
        <v>4740.0001516800003</v>
      </c>
      <c r="E42" s="13" t="s">
        <v>31</v>
      </c>
      <c r="F42" s="24" t="s">
        <v>32</v>
      </c>
      <c r="G42" s="13" t="s">
        <v>33</v>
      </c>
      <c r="H42" s="15" t="s">
        <v>41</v>
      </c>
      <c r="I42" s="15" t="s">
        <v>48</v>
      </c>
      <c r="J42" s="40">
        <v>0.87</v>
      </c>
      <c r="K42" s="41">
        <v>73.150000000000006</v>
      </c>
      <c r="L42" s="17">
        <v>2.18659498413535</v>
      </c>
      <c r="M42" s="42">
        <v>424.30700000000002</v>
      </c>
      <c r="N42" s="19">
        <v>78.517897748494747</v>
      </c>
      <c r="O42" s="43">
        <v>0.59</v>
      </c>
      <c r="P42" s="17">
        <v>0.10952979801334703</v>
      </c>
      <c r="Q42" s="44">
        <v>225</v>
      </c>
      <c r="R42" s="18">
        <v>3.2532780920864042</v>
      </c>
      <c r="S42" s="30">
        <f t="shared" si="5"/>
        <v>1.2098322696311075</v>
      </c>
      <c r="T42" s="17">
        <f t="shared" si="2"/>
        <v>1.4199210834000002</v>
      </c>
      <c r="U42" s="17">
        <f t="shared" si="3"/>
        <v>2.0605737834248807</v>
      </c>
      <c r="V42" s="17">
        <f t="shared" si="4"/>
        <v>-3.7825622500001543E-2</v>
      </c>
      <c r="W42" s="41"/>
      <c r="X42" s="41"/>
      <c r="Y42" s="41"/>
      <c r="Z42" s="41"/>
      <c r="AA42" s="41"/>
      <c r="AB42" s="41"/>
      <c r="AC42" s="41"/>
      <c r="AD42" s="41"/>
      <c r="AE42" s="45">
        <v>444</v>
      </c>
      <c r="AF42" s="45">
        <v>0.12</v>
      </c>
      <c r="AG42" s="45">
        <v>1.49</v>
      </c>
      <c r="AH42" s="45">
        <v>77</v>
      </c>
      <c r="AI42" s="45">
        <v>40</v>
      </c>
      <c r="AJ42" s="22"/>
      <c r="AK42" s="15"/>
      <c r="AL42" s="46"/>
      <c r="AM42" s="15"/>
      <c r="AN42" s="15"/>
      <c r="AO42" s="45"/>
    </row>
    <row r="43" spans="1:41" x14ac:dyDescent="0.25">
      <c r="A43" s="39"/>
      <c r="B43" s="12">
        <v>80269</v>
      </c>
      <c r="C43" s="19">
        <v>1484.376</v>
      </c>
      <c r="D43" s="14">
        <f t="shared" si="6"/>
        <v>4870.0001558399999</v>
      </c>
      <c r="E43" s="13" t="s">
        <v>31</v>
      </c>
      <c r="F43" s="24" t="s">
        <v>32</v>
      </c>
      <c r="G43" s="13" t="s">
        <v>33</v>
      </c>
      <c r="H43" s="15" t="s">
        <v>41</v>
      </c>
      <c r="I43" s="15" t="s">
        <v>48</v>
      </c>
      <c r="J43" s="40">
        <v>0.9</v>
      </c>
      <c r="K43" s="41">
        <v>72.03</v>
      </c>
      <c r="L43" s="17">
        <v>2.8064641688815941</v>
      </c>
      <c r="M43" s="42">
        <v>430.13799999999998</v>
      </c>
      <c r="N43" s="19">
        <v>17.45981796917112</v>
      </c>
      <c r="O43" s="43">
        <v>0.6</v>
      </c>
      <c r="P43" s="17">
        <v>2.8009362170605446E-2</v>
      </c>
      <c r="Q43" s="44">
        <v>234</v>
      </c>
      <c r="R43" s="18">
        <v>5.9364244710248357</v>
      </c>
      <c r="S43" s="30">
        <f t="shared" si="5"/>
        <v>1.291400283088058</v>
      </c>
      <c r="T43" s="17">
        <f t="shared" si="2"/>
        <v>1.2659261226999998</v>
      </c>
      <c r="U43" s="17">
        <f t="shared" si="3"/>
        <v>1.8346943970131753</v>
      </c>
      <c r="V43" s="17">
        <f t="shared" si="4"/>
        <v>1.1855045201000003</v>
      </c>
      <c r="W43" s="41"/>
      <c r="X43" s="41"/>
      <c r="Y43" s="41"/>
      <c r="Z43" s="41"/>
      <c r="AA43" s="41"/>
      <c r="AB43" s="41"/>
      <c r="AC43" s="41"/>
      <c r="AD43" s="41"/>
      <c r="AE43" s="45">
        <v>445</v>
      </c>
      <c r="AF43" s="45">
        <v>7.0000000000000007E-2</v>
      </c>
      <c r="AG43" s="45">
        <v>3.04</v>
      </c>
      <c r="AH43" s="45">
        <v>106</v>
      </c>
      <c r="AI43" s="45">
        <v>19</v>
      </c>
      <c r="AJ43" s="22"/>
      <c r="AK43" s="15"/>
      <c r="AL43" s="46"/>
      <c r="AM43" s="15"/>
      <c r="AN43" s="15"/>
      <c r="AO43" s="45"/>
    </row>
    <row r="44" spans="1:41" x14ac:dyDescent="0.25">
      <c r="A44" s="39"/>
      <c r="B44" s="12">
        <v>80278</v>
      </c>
      <c r="C44" s="19">
        <v>1600.2</v>
      </c>
      <c r="D44" s="14">
        <f t="shared" si="6"/>
        <v>5250.0001680000005</v>
      </c>
      <c r="E44" s="13" t="s">
        <v>31</v>
      </c>
      <c r="F44" s="24" t="s">
        <v>32</v>
      </c>
      <c r="G44" s="13" t="s">
        <v>33</v>
      </c>
      <c r="H44" s="15" t="s">
        <v>41</v>
      </c>
      <c r="I44" s="15" t="s">
        <v>48</v>
      </c>
      <c r="J44" s="40">
        <v>0.9</v>
      </c>
      <c r="K44" s="41">
        <v>77.95</v>
      </c>
      <c r="L44" s="17">
        <v>3.5151359867706242</v>
      </c>
      <c r="M44" s="42">
        <v>432.79500000000002</v>
      </c>
      <c r="N44" s="19">
        <v>26.50094350375425</v>
      </c>
      <c r="O44" s="43">
        <v>0.59</v>
      </c>
      <c r="P44" s="17">
        <v>3.0861036331901744E-2</v>
      </c>
      <c r="Q44" s="44">
        <v>238</v>
      </c>
      <c r="R44" s="18">
        <v>4.4264564373540241</v>
      </c>
      <c r="S44" s="30">
        <f t="shared" si="5"/>
        <v>0.9147162486740934</v>
      </c>
      <c r="T44" s="17">
        <f t="shared" si="2"/>
        <v>1.1957555497999994</v>
      </c>
      <c r="U44" s="17">
        <f t="shared" si="3"/>
        <v>2.0605737834248807</v>
      </c>
      <c r="V44" s="17">
        <f t="shared" si="4"/>
        <v>1.7292068057000023</v>
      </c>
      <c r="W44" s="41"/>
      <c r="X44" s="41"/>
      <c r="Y44" s="41"/>
      <c r="Z44" s="41"/>
      <c r="AA44" s="41"/>
      <c r="AB44" s="41"/>
      <c r="AC44" s="41"/>
      <c r="AD44" s="41"/>
      <c r="AE44" s="45">
        <v>445</v>
      </c>
      <c r="AF44" s="45">
        <v>0.05</v>
      </c>
      <c r="AG44" s="45">
        <v>1.36</v>
      </c>
      <c r="AH44" s="45">
        <v>91</v>
      </c>
      <c r="AI44" s="45">
        <v>19</v>
      </c>
      <c r="AJ44" s="27">
        <v>0.53</v>
      </c>
      <c r="AK44" s="15"/>
      <c r="AL44" s="46"/>
      <c r="AM44" s="15"/>
      <c r="AN44" s="15"/>
      <c r="AO44" s="45"/>
    </row>
    <row r="45" spans="1:41" x14ac:dyDescent="0.25">
      <c r="A45" s="39"/>
      <c r="B45" s="12">
        <v>80279</v>
      </c>
      <c r="C45" s="19">
        <v>1783.0800000000002</v>
      </c>
      <c r="D45" s="14">
        <f t="shared" si="6"/>
        <v>5850.0001872000003</v>
      </c>
      <c r="E45" s="13" t="s">
        <v>31</v>
      </c>
      <c r="F45" s="24" t="s">
        <v>32</v>
      </c>
      <c r="G45" s="13" t="s">
        <v>33</v>
      </c>
      <c r="H45" s="15" t="s">
        <v>41</v>
      </c>
      <c r="I45" s="15" t="s">
        <v>48</v>
      </c>
      <c r="J45" s="48" t="s">
        <v>73</v>
      </c>
      <c r="K45" s="41">
        <v>59.88</v>
      </c>
      <c r="L45" s="17">
        <v>8.6568650512208496</v>
      </c>
      <c r="M45" s="42">
        <v>382.40699999999998</v>
      </c>
      <c r="N45" s="19">
        <v>51.358241151140888</v>
      </c>
      <c r="O45" s="43">
        <v>0.57999999999999996</v>
      </c>
      <c r="P45" s="17">
        <v>3.0432490921949624E-2</v>
      </c>
      <c r="Q45" s="44">
        <v>252</v>
      </c>
      <c r="R45" s="18">
        <v>15.199222698268828</v>
      </c>
      <c r="S45" s="30">
        <f t="shared" si="5"/>
        <v>2.6209139645424839</v>
      </c>
      <c r="T45" s="17">
        <f t="shared" si="2"/>
        <v>2.5264875133999993</v>
      </c>
      <c r="U45" s="17">
        <f t="shared" si="3"/>
        <v>2.3142624318525309</v>
      </c>
      <c r="V45" s="17">
        <f t="shared" si="4"/>
        <v>3.6321648053000004</v>
      </c>
      <c r="W45" s="41"/>
      <c r="X45" s="41"/>
      <c r="Y45" s="41"/>
      <c r="Z45" s="41"/>
      <c r="AA45" s="41"/>
      <c r="AB45" s="41"/>
      <c r="AC45" s="41"/>
      <c r="AD45" s="41"/>
      <c r="AE45" s="45">
        <v>449</v>
      </c>
      <c r="AF45" s="45">
        <v>0.06</v>
      </c>
      <c r="AG45" s="45">
        <v>1.48</v>
      </c>
      <c r="AH45" s="45">
        <v>97</v>
      </c>
      <c r="AI45" s="45">
        <v>22</v>
      </c>
      <c r="AJ45" s="22"/>
      <c r="AK45" s="15"/>
      <c r="AL45" s="46"/>
      <c r="AM45" s="15"/>
      <c r="AN45" s="15"/>
      <c r="AO45" s="45"/>
    </row>
    <row r="46" spans="1:41" x14ac:dyDescent="0.25">
      <c r="A46" s="39"/>
      <c r="B46" s="12">
        <v>80270</v>
      </c>
      <c r="C46" s="19">
        <v>1911.096</v>
      </c>
      <c r="D46" s="14">
        <f t="shared" si="6"/>
        <v>6270.00020064</v>
      </c>
      <c r="E46" s="13" t="s">
        <v>31</v>
      </c>
      <c r="F46" s="24" t="s">
        <v>32</v>
      </c>
      <c r="G46" s="13" t="s">
        <v>33</v>
      </c>
      <c r="H46" s="15" t="s">
        <v>41</v>
      </c>
      <c r="I46" s="15" t="s">
        <v>48</v>
      </c>
      <c r="J46" s="40">
        <v>1.1299999999999999</v>
      </c>
      <c r="K46" s="41">
        <v>73.150000000000006</v>
      </c>
      <c r="L46" s="17">
        <v>1.506348342797587</v>
      </c>
      <c r="M46" s="42">
        <v>465.92700000000002</v>
      </c>
      <c r="N46" s="19">
        <v>19.395375790453851</v>
      </c>
      <c r="O46" s="43">
        <v>0.64</v>
      </c>
      <c r="P46" s="17">
        <v>3.1939954953906294E-2</v>
      </c>
      <c r="Q46" s="44">
        <v>241</v>
      </c>
      <c r="R46" s="18">
        <v>5.4753550810270983</v>
      </c>
      <c r="S46" s="30">
        <f t="shared" si="5"/>
        <v>1.2098322696311075</v>
      </c>
      <c r="T46" s="17">
        <f t="shared" si="2"/>
        <v>0.32074936939999965</v>
      </c>
      <c r="U46" s="17">
        <f t="shared" si="3"/>
        <v>1.1530974009856962</v>
      </c>
      <c r="V46" s="17">
        <f t="shared" si="4"/>
        <v>2.1369835198999994</v>
      </c>
      <c r="W46" s="41"/>
      <c r="X46" s="41"/>
      <c r="Y46" s="41"/>
      <c r="Z46" s="41"/>
      <c r="AA46" s="41"/>
      <c r="AB46" s="41"/>
      <c r="AC46" s="41"/>
      <c r="AD46" s="41"/>
      <c r="AE46" s="45">
        <v>452</v>
      </c>
      <c r="AF46" s="27">
        <v>0.1</v>
      </c>
      <c r="AG46" s="45">
        <v>1.47</v>
      </c>
      <c r="AH46" s="45">
        <v>83</v>
      </c>
      <c r="AI46" s="45">
        <v>17</v>
      </c>
      <c r="AJ46" s="22"/>
      <c r="AK46" s="15"/>
      <c r="AL46" s="46"/>
      <c r="AM46" s="15"/>
      <c r="AN46" s="15"/>
      <c r="AO46" s="45"/>
    </row>
    <row r="47" spans="1:41" x14ac:dyDescent="0.25">
      <c r="A47" s="39"/>
      <c r="B47" s="12">
        <v>80035</v>
      </c>
      <c r="C47" s="19">
        <v>1965.96</v>
      </c>
      <c r="D47" s="14">
        <f t="shared" si="6"/>
        <v>6450.0002064</v>
      </c>
      <c r="E47" s="13" t="s">
        <v>31</v>
      </c>
      <c r="F47" s="24" t="s">
        <v>32</v>
      </c>
      <c r="G47" s="13" t="s">
        <v>33</v>
      </c>
      <c r="H47" s="15" t="s">
        <v>41</v>
      </c>
      <c r="I47" s="15" t="s">
        <v>48</v>
      </c>
      <c r="J47" s="40">
        <v>1.2</v>
      </c>
      <c r="K47" s="41">
        <v>71.66</v>
      </c>
      <c r="L47" s="17">
        <v>6.3421602215081405</v>
      </c>
      <c r="M47" s="42">
        <v>404.63499999999999</v>
      </c>
      <c r="N47" s="19">
        <v>55.17085139178895</v>
      </c>
      <c r="O47" s="43">
        <v>0.55000000000000004</v>
      </c>
      <c r="P47" s="17">
        <v>2.5311235499484899E-2</v>
      </c>
      <c r="Q47" s="44">
        <v>230</v>
      </c>
      <c r="R47" s="18">
        <v>9.7408131038455679</v>
      </c>
      <c r="S47" s="30">
        <f t="shared" si="5"/>
        <v>1.319537638309968</v>
      </c>
      <c r="T47" s="17">
        <f t="shared" si="2"/>
        <v>1.9394527018000005</v>
      </c>
      <c r="U47" s="17">
        <f t="shared" si="3"/>
        <v>3.2785809523550915</v>
      </c>
      <c r="V47" s="17">
        <f t="shared" si="4"/>
        <v>0.64180223449999829</v>
      </c>
      <c r="W47" s="41"/>
      <c r="X47" s="41"/>
      <c r="Y47" s="41"/>
      <c r="Z47" s="41"/>
      <c r="AA47" s="41"/>
      <c r="AB47" s="41"/>
      <c r="AC47" s="41"/>
      <c r="AD47" s="41"/>
      <c r="AE47" s="45">
        <v>452</v>
      </c>
      <c r="AF47" s="45">
        <v>7.0000000000000007E-2</v>
      </c>
      <c r="AG47" s="45">
        <v>1.68</v>
      </c>
      <c r="AH47" s="45">
        <v>86</v>
      </c>
      <c r="AI47" s="45">
        <v>18</v>
      </c>
      <c r="AJ47" s="27">
        <v>0.84</v>
      </c>
      <c r="AK47" s="15"/>
      <c r="AL47" s="46"/>
      <c r="AM47" s="15"/>
      <c r="AN47" s="15"/>
      <c r="AO47" s="45"/>
    </row>
    <row r="48" spans="1:41" x14ac:dyDescent="0.25">
      <c r="A48" s="39"/>
      <c r="B48" s="12">
        <v>80271</v>
      </c>
      <c r="C48" s="19">
        <v>1975.104</v>
      </c>
      <c r="D48" s="14">
        <f t="shared" si="6"/>
        <v>6480.0002073599999</v>
      </c>
      <c r="E48" s="13" t="s">
        <v>31</v>
      </c>
      <c r="F48" s="24" t="s">
        <v>32</v>
      </c>
      <c r="G48" s="13" t="s">
        <v>33</v>
      </c>
      <c r="H48" s="15" t="s">
        <v>41</v>
      </c>
      <c r="I48" s="15" t="s">
        <v>48</v>
      </c>
      <c r="J48" s="40">
        <v>1.26</v>
      </c>
      <c r="K48" s="41">
        <v>69.8</v>
      </c>
      <c r="L48" s="17">
        <v>1.5453562758202191</v>
      </c>
      <c r="M48" s="42">
        <v>405.62200000000001</v>
      </c>
      <c r="N48" s="19">
        <v>22.796378899794178</v>
      </c>
      <c r="O48" s="43">
        <v>0.56000000000000005</v>
      </c>
      <c r="P48" s="17">
        <v>2.233873371845474E-2</v>
      </c>
      <c r="Q48" s="44">
        <v>239</v>
      </c>
      <c r="R48" s="18">
        <v>4.6915505886003102</v>
      </c>
      <c r="S48" s="30">
        <f t="shared" si="5"/>
        <v>1.4705483425976029</v>
      </c>
      <c r="T48" s="17">
        <f t="shared" si="2"/>
        <v>1.9133863278999996</v>
      </c>
      <c r="U48" s="17">
        <f t="shared" si="3"/>
        <v>2.9191840407879761</v>
      </c>
      <c r="V48" s="17">
        <f t="shared" si="4"/>
        <v>1.8651323770999966</v>
      </c>
      <c r="W48" s="41"/>
      <c r="X48" s="41"/>
      <c r="Y48" s="41"/>
      <c r="Z48" s="41"/>
      <c r="AA48" s="41"/>
      <c r="AB48" s="41"/>
      <c r="AC48" s="41"/>
      <c r="AD48" s="41"/>
      <c r="AE48" s="45">
        <v>451</v>
      </c>
      <c r="AF48" s="45">
        <v>0.11</v>
      </c>
      <c r="AG48" s="45">
        <v>1.18</v>
      </c>
      <c r="AH48" s="45">
        <v>85</v>
      </c>
      <c r="AI48" s="45">
        <v>21</v>
      </c>
      <c r="AJ48" s="22">
        <v>0.63</v>
      </c>
      <c r="AK48" s="15"/>
      <c r="AL48" s="46"/>
      <c r="AM48" s="15"/>
      <c r="AN48" s="15"/>
      <c r="AO48" s="45"/>
    </row>
    <row r="49" spans="1:40" x14ac:dyDescent="0.25">
      <c r="D49" s="19"/>
      <c r="F49" s="24"/>
      <c r="L49" s="16"/>
      <c r="N49" s="19"/>
      <c r="S49" s="30"/>
      <c r="T49" s="17"/>
      <c r="U49" s="17"/>
      <c r="V49" s="17"/>
      <c r="AK49" s="46"/>
      <c r="AL49" s="46"/>
      <c r="AM49" s="15"/>
      <c r="AN49" s="15"/>
    </row>
    <row r="50" spans="1:40" x14ac:dyDescent="0.25">
      <c r="A50" s="39" t="s">
        <v>49</v>
      </c>
      <c r="B50" s="12">
        <v>80038</v>
      </c>
      <c r="C50" s="19">
        <v>9.1440000000000001</v>
      </c>
      <c r="D50" s="14">
        <f t="shared" si="6"/>
        <v>30.000000960000001</v>
      </c>
      <c r="E50" s="13" t="s">
        <v>31</v>
      </c>
      <c r="F50" s="24" t="s">
        <v>32</v>
      </c>
      <c r="G50" s="19" t="s">
        <v>33</v>
      </c>
      <c r="H50" s="15" t="s">
        <v>41</v>
      </c>
      <c r="I50" s="15" t="s">
        <v>42</v>
      </c>
      <c r="J50" s="45" t="s">
        <v>73</v>
      </c>
      <c r="K50" s="41">
        <v>84.81</v>
      </c>
      <c r="L50" s="17">
        <v>2.8782587840017402</v>
      </c>
      <c r="M50" s="42">
        <v>454.21600000000001</v>
      </c>
      <c r="N50" s="19">
        <v>10.907730449947863</v>
      </c>
      <c r="O50" s="43">
        <v>0.59</v>
      </c>
      <c r="P50" s="17">
        <v>1.7766227605633143E-2</v>
      </c>
      <c r="Q50" s="44">
        <v>234</v>
      </c>
      <c r="R50" s="18">
        <v>5.3110891560444218</v>
      </c>
      <c r="S50" s="30">
        <f t="shared" ref="S50:S65" si="7">85.7830385291*EXP(-0.058254813*K50)</f>
        <v>0.61338076259470875</v>
      </c>
      <c r="T50" s="17">
        <f t="shared" si="2"/>
        <v>0.63003336609999927</v>
      </c>
      <c r="U50" s="17">
        <f t="shared" si="3"/>
        <v>2.0605737834248807</v>
      </c>
      <c r="V50" s="17">
        <f t="shared" si="4"/>
        <v>1.1855045201000003</v>
      </c>
      <c r="W50" s="41"/>
      <c r="X50" s="41"/>
      <c r="Y50" s="41"/>
      <c r="Z50" s="41"/>
      <c r="AA50" s="41"/>
      <c r="AB50" s="41"/>
      <c r="AC50" s="41"/>
      <c r="AD50" s="41"/>
      <c r="AE50" s="50"/>
      <c r="AF50" s="50"/>
      <c r="AG50" s="50"/>
      <c r="AH50" s="50"/>
      <c r="AI50" s="50"/>
      <c r="AJ50" s="22"/>
    </row>
    <row r="51" spans="1:40" x14ac:dyDescent="0.25">
      <c r="A51" s="51" t="s">
        <v>50</v>
      </c>
      <c r="B51" s="12">
        <v>80039</v>
      </c>
      <c r="C51" s="19">
        <v>18.288</v>
      </c>
      <c r="D51" s="14">
        <f t="shared" si="6"/>
        <v>60.000001920000003</v>
      </c>
      <c r="E51" s="13" t="s">
        <v>31</v>
      </c>
      <c r="F51" s="24" t="s">
        <v>32</v>
      </c>
      <c r="G51" s="19" t="s">
        <v>33</v>
      </c>
      <c r="H51" s="15" t="s">
        <v>41</v>
      </c>
      <c r="I51" s="15" t="s">
        <v>42</v>
      </c>
      <c r="J51" s="45" t="s">
        <v>73</v>
      </c>
      <c r="K51" s="41">
        <v>66.81</v>
      </c>
      <c r="L51" s="17">
        <v>2.4845321104328724</v>
      </c>
      <c r="M51" s="42">
        <v>402.73</v>
      </c>
      <c r="N51" s="19">
        <v>13.253098392646724</v>
      </c>
      <c r="O51" s="43">
        <v>0.55000000000000004</v>
      </c>
      <c r="P51" s="17">
        <v>1.9456278208447541E-2</v>
      </c>
      <c r="Q51" s="44">
        <v>237</v>
      </c>
      <c r="R51" s="18">
        <v>7.9562983525561917</v>
      </c>
      <c r="S51" s="30">
        <f t="shared" si="7"/>
        <v>1.7503525841176888</v>
      </c>
      <c r="T51" s="17">
        <f t="shared" si="2"/>
        <v>1.9897631802999989</v>
      </c>
      <c r="U51" s="17">
        <f t="shared" si="3"/>
        <v>3.2785809523550915</v>
      </c>
      <c r="V51" s="17">
        <f t="shared" si="4"/>
        <v>1.5932812343000009</v>
      </c>
      <c r="W51" s="41"/>
      <c r="X51" s="41"/>
      <c r="Y51" s="41"/>
      <c r="Z51" s="41"/>
      <c r="AA51" s="41"/>
      <c r="AB51" s="41"/>
      <c r="AC51" s="41"/>
      <c r="AD51" s="41"/>
      <c r="AE51" s="6">
        <v>550</v>
      </c>
      <c r="AF51" s="16">
        <v>0.2</v>
      </c>
      <c r="AG51" s="6">
        <v>16.850000000000001</v>
      </c>
      <c r="AH51" s="6">
        <v>62</v>
      </c>
      <c r="AI51" s="6">
        <v>5</v>
      </c>
      <c r="AJ51" s="22"/>
    </row>
    <row r="52" spans="1:40" x14ac:dyDescent="0.25">
      <c r="A52" s="51" t="s">
        <v>51</v>
      </c>
      <c r="B52" s="12">
        <v>80232</v>
      </c>
      <c r="C52" s="19">
        <v>24.384</v>
      </c>
      <c r="D52" s="14">
        <f t="shared" si="6"/>
        <v>80.000002559999999</v>
      </c>
      <c r="E52" s="13" t="s">
        <v>31</v>
      </c>
      <c r="F52" s="24" t="s">
        <v>32</v>
      </c>
      <c r="G52" s="19" t="s">
        <v>33</v>
      </c>
      <c r="H52" s="15" t="s">
        <v>41</v>
      </c>
      <c r="I52" s="15" t="s">
        <v>42</v>
      </c>
      <c r="J52" s="52">
        <v>1.71</v>
      </c>
      <c r="K52" s="41">
        <v>66.89</v>
      </c>
      <c r="L52" s="17">
        <v>2.4450469636152499</v>
      </c>
      <c r="M52" s="42">
        <v>396.07900000000001</v>
      </c>
      <c r="N52" s="19">
        <v>12.055029758670347</v>
      </c>
      <c r="O52" s="43">
        <v>0.54</v>
      </c>
      <c r="P52" s="17">
        <v>1.6755336812723176E-2</v>
      </c>
      <c r="Q52" s="44">
        <v>241</v>
      </c>
      <c r="R52" s="18">
        <v>4.1984620895142974</v>
      </c>
      <c r="S52" s="30">
        <f t="shared" si="7"/>
        <v>1.7422142457449803</v>
      </c>
      <c r="T52" s="17">
        <f t="shared" si="2"/>
        <v>2.1654140949999992</v>
      </c>
      <c r="U52" s="17">
        <f t="shared" si="3"/>
        <v>3.6822252077824165</v>
      </c>
      <c r="V52" s="17">
        <f t="shared" si="4"/>
        <v>2.1369835198999994</v>
      </c>
      <c r="W52" s="41"/>
      <c r="X52" s="41"/>
      <c r="Y52" s="41"/>
      <c r="Z52" s="41"/>
      <c r="AA52" s="41"/>
      <c r="AB52" s="41"/>
      <c r="AC52" s="41"/>
      <c r="AD52" s="41"/>
      <c r="AE52" s="6">
        <v>407</v>
      </c>
      <c r="AF52" s="6">
        <v>0.48</v>
      </c>
      <c r="AG52" s="6">
        <v>5.32</v>
      </c>
      <c r="AH52" s="6">
        <v>126</v>
      </c>
      <c r="AI52" s="6">
        <v>15</v>
      </c>
      <c r="AJ52" s="22"/>
      <c r="AK52" s="53"/>
      <c r="AL52" s="53"/>
      <c r="AM52" s="54"/>
      <c r="AN52" s="54"/>
    </row>
    <row r="53" spans="1:40" x14ac:dyDescent="0.25">
      <c r="A53" s="47"/>
      <c r="B53" s="12">
        <v>80233</v>
      </c>
      <c r="C53" s="19">
        <v>30.48</v>
      </c>
      <c r="D53" s="14">
        <f t="shared" si="6"/>
        <v>100.00000319999999</v>
      </c>
      <c r="E53" s="13" t="s">
        <v>31</v>
      </c>
      <c r="F53" s="24" t="s">
        <v>32</v>
      </c>
      <c r="G53" s="19" t="s">
        <v>33</v>
      </c>
      <c r="H53" s="15" t="s">
        <v>41</v>
      </c>
      <c r="I53" s="15" t="s">
        <v>42</v>
      </c>
      <c r="J53" s="52">
        <v>1.62</v>
      </c>
      <c r="K53" s="41">
        <v>65.69</v>
      </c>
      <c r="L53" s="17">
        <v>1.4959192025650869</v>
      </c>
      <c r="M53" s="42">
        <v>393.041</v>
      </c>
      <c r="N53" s="19">
        <v>7.1443580976291683</v>
      </c>
      <c r="O53" s="43">
        <v>0.53</v>
      </c>
      <c r="P53" s="17">
        <v>7.5913201814187137E-3</v>
      </c>
      <c r="Q53" s="44">
        <v>239</v>
      </c>
      <c r="R53" s="18">
        <v>3.379358879205375</v>
      </c>
      <c r="S53" s="30">
        <f t="shared" si="7"/>
        <v>1.8683629783843694</v>
      </c>
      <c r="T53" s="17">
        <f t="shared" si="2"/>
        <v>2.2456467635999999</v>
      </c>
      <c r="U53" s="17">
        <f t="shared" si="3"/>
        <v>4.1355643425820023</v>
      </c>
      <c r="V53" s="17">
        <f t="shared" si="4"/>
        <v>1.8651323770999966</v>
      </c>
      <c r="W53" s="41"/>
      <c r="X53" s="41"/>
      <c r="Y53" s="41"/>
      <c r="Z53" s="41"/>
      <c r="AA53" s="41"/>
      <c r="AB53" s="41"/>
      <c r="AC53" s="41"/>
      <c r="AD53" s="41"/>
      <c r="AE53" s="6">
        <v>392</v>
      </c>
      <c r="AF53" s="6">
        <v>0.47</v>
      </c>
      <c r="AG53" s="6">
        <v>4.63</v>
      </c>
      <c r="AH53" s="6">
        <v>87</v>
      </c>
      <c r="AI53" s="6">
        <v>15</v>
      </c>
      <c r="AJ53" s="22"/>
      <c r="AK53" s="53"/>
      <c r="AL53" s="53"/>
      <c r="AM53" s="54"/>
      <c r="AN53" s="54"/>
    </row>
    <row r="54" spans="1:40" x14ac:dyDescent="0.25">
      <c r="A54" s="39"/>
      <c r="B54" s="12">
        <v>80234</v>
      </c>
      <c r="C54" s="19">
        <v>48.768000000000001</v>
      </c>
      <c r="D54" s="14">
        <f t="shared" si="6"/>
        <v>160.00000512</v>
      </c>
      <c r="E54" s="13" t="s">
        <v>31</v>
      </c>
      <c r="F54" s="24" t="s">
        <v>32</v>
      </c>
      <c r="G54" s="19" t="s">
        <v>33</v>
      </c>
      <c r="H54" s="15" t="s">
        <v>41</v>
      </c>
      <c r="I54" s="15" t="s">
        <v>48</v>
      </c>
      <c r="J54" s="52">
        <v>1.51</v>
      </c>
      <c r="K54" s="41">
        <v>69.62</v>
      </c>
      <c r="L54" s="17">
        <v>3.1551931357382594</v>
      </c>
      <c r="M54" s="42">
        <v>410.84300000000002</v>
      </c>
      <c r="N54" s="19">
        <v>16.194827313685916</v>
      </c>
      <c r="O54" s="43">
        <v>0.55000000000000004</v>
      </c>
      <c r="P54" s="17">
        <v>1.6400838839169238E-2</v>
      </c>
      <c r="Q54" s="44">
        <v>244</v>
      </c>
      <c r="R54" s="18">
        <v>8.6855899212820358</v>
      </c>
      <c r="S54" s="30">
        <f t="shared" si="7"/>
        <v>1.4860494451764972</v>
      </c>
      <c r="T54" s="17">
        <f t="shared" si="2"/>
        <v>1.7755012842000006</v>
      </c>
      <c r="U54" s="17">
        <f t="shared" si="3"/>
        <v>3.2785809523550915</v>
      </c>
      <c r="V54" s="17">
        <f t="shared" si="4"/>
        <v>2.5447602340999964</v>
      </c>
      <c r="W54" s="41"/>
      <c r="X54" s="41"/>
      <c r="Y54" s="41"/>
      <c r="Z54" s="41"/>
      <c r="AA54" s="41"/>
      <c r="AB54" s="41"/>
      <c r="AC54" s="41"/>
      <c r="AD54" s="41"/>
      <c r="AE54" s="6">
        <v>358</v>
      </c>
      <c r="AF54" s="6">
        <v>0.33</v>
      </c>
      <c r="AG54" s="6">
        <v>5.43</v>
      </c>
      <c r="AH54" s="6">
        <v>108</v>
      </c>
      <c r="AI54" s="6">
        <v>15</v>
      </c>
      <c r="AJ54" s="22"/>
      <c r="AK54" s="53"/>
      <c r="AL54" s="53"/>
      <c r="AM54" s="54"/>
      <c r="AN54" s="54"/>
    </row>
    <row r="55" spans="1:40" x14ac:dyDescent="0.25">
      <c r="A55" s="39"/>
      <c r="B55" s="12">
        <v>80235</v>
      </c>
      <c r="C55" s="19">
        <v>51.816000000000003</v>
      </c>
      <c r="D55" s="14">
        <f t="shared" si="6"/>
        <v>170.00000544</v>
      </c>
      <c r="E55" s="13" t="s">
        <v>31</v>
      </c>
      <c r="F55" s="24" t="s">
        <v>32</v>
      </c>
      <c r="G55" s="19" t="s">
        <v>33</v>
      </c>
      <c r="H55" s="15" t="s">
        <v>41</v>
      </c>
      <c r="I55" s="15" t="s">
        <v>48</v>
      </c>
      <c r="J55" s="52">
        <v>1.51</v>
      </c>
      <c r="K55" s="41">
        <v>71.3</v>
      </c>
      <c r="L55" s="17">
        <v>1.8368407608744968</v>
      </c>
      <c r="M55" s="42">
        <v>416.91199999999998</v>
      </c>
      <c r="N55" s="19">
        <v>6.6868960569560558</v>
      </c>
      <c r="O55" s="43">
        <v>0.56000000000000005</v>
      </c>
      <c r="P55" s="17">
        <v>9.1541525112075403E-3</v>
      </c>
      <c r="Q55" s="44">
        <v>236</v>
      </c>
      <c r="R55" s="18">
        <v>4.0364177505320784</v>
      </c>
      <c r="S55" s="30">
        <f t="shared" si="7"/>
        <v>1.3475028433754093</v>
      </c>
      <c r="T55" s="17">
        <f t="shared" si="2"/>
        <v>1.6152208148999989</v>
      </c>
      <c r="U55" s="17">
        <f t="shared" si="3"/>
        <v>2.9191840407879761</v>
      </c>
      <c r="V55" s="17">
        <f t="shared" si="4"/>
        <v>1.4573556628999995</v>
      </c>
      <c r="W55" s="41"/>
      <c r="X55" s="41"/>
      <c r="Y55" s="41"/>
      <c r="Z55" s="41"/>
      <c r="AA55" s="41"/>
      <c r="AB55" s="41"/>
      <c r="AC55" s="41"/>
      <c r="AD55" s="41"/>
      <c r="AE55" s="6">
        <v>366</v>
      </c>
      <c r="AF55" s="6">
        <v>0.22</v>
      </c>
      <c r="AG55" s="6">
        <v>3.17</v>
      </c>
      <c r="AH55" s="6">
        <v>103</v>
      </c>
      <c r="AI55" s="6">
        <v>27</v>
      </c>
      <c r="AJ55" s="22"/>
      <c r="AK55" s="53"/>
      <c r="AL55" s="53"/>
      <c r="AM55" s="54"/>
      <c r="AN55" s="54"/>
    </row>
    <row r="56" spans="1:40" x14ac:dyDescent="0.25">
      <c r="A56" s="39"/>
      <c r="B56" s="12">
        <v>80236</v>
      </c>
      <c r="C56" s="19">
        <v>64.00800000000001</v>
      </c>
      <c r="D56" s="14">
        <f t="shared" si="6"/>
        <v>210.00000672000004</v>
      </c>
      <c r="E56" s="13" t="s">
        <v>31</v>
      </c>
      <c r="F56" s="24" t="s">
        <v>32</v>
      </c>
      <c r="G56" s="19" t="s">
        <v>33</v>
      </c>
      <c r="H56" s="15" t="s">
        <v>41</v>
      </c>
      <c r="I56" s="15" t="s">
        <v>48</v>
      </c>
      <c r="J56" s="52">
        <v>1.39</v>
      </c>
      <c r="K56" s="41">
        <v>71.17</v>
      </c>
      <c r="L56" s="17">
        <v>10.541775016871107</v>
      </c>
      <c r="M56" s="42">
        <v>407.19600000000003</v>
      </c>
      <c r="N56" s="19">
        <v>48.042715764462493</v>
      </c>
      <c r="O56" s="43">
        <v>0.55000000000000004</v>
      </c>
      <c r="P56" s="17">
        <v>3.4845961167267472E-2</v>
      </c>
      <c r="Q56" s="44">
        <v>239</v>
      </c>
      <c r="R56" s="18">
        <v>6.3058688581137092</v>
      </c>
      <c r="S56" s="30">
        <f t="shared" si="7"/>
        <v>1.3577463906539713</v>
      </c>
      <c r="T56" s="17">
        <f t="shared" si="2"/>
        <v>1.8718174600999991</v>
      </c>
      <c r="U56" s="17">
        <f t="shared" si="3"/>
        <v>3.2785809523550915</v>
      </c>
      <c r="V56" s="17">
        <f t="shared" si="4"/>
        <v>1.8651323770999966</v>
      </c>
      <c r="W56" s="41"/>
      <c r="X56" s="41"/>
      <c r="Y56" s="41"/>
      <c r="Z56" s="41"/>
      <c r="AA56" s="41"/>
      <c r="AB56" s="41"/>
      <c r="AC56" s="41"/>
      <c r="AD56" s="41"/>
      <c r="AE56" s="6">
        <v>436</v>
      </c>
      <c r="AF56" s="6">
        <v>0.31</v>
      </c>
      <c r="AG56" s="6">
        <v>0.76</v>
      </c>
      <c r="AH56" s="6">
        <v>74</v>
      </c>
      <c r="AI56" s="6">
        <v>54</v>
      </c>
      <c r="AJ56" s="22"/>
      <c r="AK56" s="53"/>
      <c r="AL56" s="53"/>
      <c r="AM56" s="54"/>
      <c r="AN56" s="54"/>
    </row>
    <row r="57" spans="1:40" x14ac:dyDescent="0.25">
      <c r="A57" s="39"/>
      <c r="B57" s="12">
        <v>80237</v>
      </c>
      <c r="C57" s="19">
        <v>82.296000000000006</v>
      </c>
      <c r="D57" s="14">
        <f t="shared" si="6"/>
        <v>270.00000864000003</v>
      </c>
      <c r="E57" s="13" t="s">
        <v>31</v>
      </c>
      <c r="F57" s="24" t="s">
        <v>32</v>
      </c>
      <c r="G57" s="19" t="s">
        <v>33</v>
      </c>
      <c r="H57" s="15" t="s">
        <v>41</v>
      </c>
      <c r="I57" s="15" t="s">
        <v>48</v>
      </c>
      <c r="J57" s="45" t="s">
        <v>73</v>
      </c>
      <c r="K57" s="41">
        <v>65.09</v>
      </c>
      <c r="L57" s="17">
        <v>1.3345491039607678</v>
      </c>
      <c r="M57" s="42">
        <v>395.875</v>
      </c>
      <c r="N57" s="19">
        <v>11.911048952877879</v>
      </c>
      <c r="O57" s="43">
        <v>0.55000000000000004</v>
      </c>
      <c r="P57" s="17">
        <v>1.160483453743218E-2</v>
      </c>
      <c r="Q57" s="44">
        <v>245</v>
      </c>
      <c r="R57" s="18">
        <v>10.861665450394907</v>
      </c>
      <c r="S57" s="30">
        <f t="shared" si="7"/>
        <v>1.9348223677208034</v>
      </c>
      <c r="T57" s="17">
        <f t="shared" si="2"/>
        <v>2.1708016737999998</v>
      </c>
      <c r="U57" s="17">
        <f t="shared" si="3"/>
        <v>3.2785809523550915</v>
      </c>
      <c r="V57" s="17">
        <f t="shared" si="4"/>
        <v>2.6806858054999978</v>
      </c>
      <c r="W57" s="41"/>
      <c r="X57" s="41"/>
      <c r="Y57" s="41"/>
      <c r="Z57" s="41"/>
      <c r="AA57" s="41"/>
      <c r="AB57" s="41"/>
      <c r="AC57" s="41"/>
      <c r="AD57" s="41"/>
      <c r="AE57" s="6">
        <v>398</v>
      </c>
      <c r="AF57" s="6">
        <v>0.27</v>
      </c>
      <c r="AG57" s="6">
        <v>0.83</v>
      </c>
      <c r="AH57" s="6">
        <v>136</v>
      </c>
      <c r="AI57" s="6">
        <v>67</v>
      </c>
      <c r="AJ57" s="22"/>
      <c r="AK57" s="53"/>
      <c r="AL57" s="53"/>
      <c r="AM57" s="54"/>
      <c r="AN57" s="54"/>
    </row>
    <row r="58" spans="1:40" x14ac:dyDescent="0.25">
      <c r="A58" s="39"/>
      <c r="B58" s="12">
        <v>80238</v>
      </c>
      <c r="C58" s="19">
        <v>88.39200000000001</v>
      </c>
      <c r="D58" s="14">
        <f t="shared" si="6"/>
        <v>290.00000928000003</v>
      </c>
      <c r="E58" s="13" t="s">
        <v>31</v>
      </c>
      <c r="F58" s="24" t="s">
        <v>32</v>
      </c>
      <c r="G58" s="19" t="s">
        <v>33</v>
      </c>
      <c r="H58" s="15" t="s">
        <v>41</v>
      </c>
      <c r="I58" s="15" t="s">
        <v>48</v>
      </c>
      <c r="J58" s="52">
        <v>1.32</v>
      </c>
      <c r="K58" s="41">
        <v>64.44</v>
      </c>
      <c r="L58" s="17">
        <v>7.9251734635272832</v>
      </c>
      <c r="M58" s="42">
        <v>406.98399999999998</v>
      </c>
      <c r="N58" s="19">
        <v>41.588912175055057</v>
      </c>
      <c r="O58" s="43">
        <v>0.55000000000000004</v>
      </c>
      <c r="P58" s="17">
        <v>3.0686638458826736E-2</v>
      </c>
      <c r="Q58" s="44">
        <v>243</v>
      </c>
      <c r="R58" s="18">
        <v>11.48821668858656</v>
      </c>
      <c r="S58" s="30">
        <f t="shared" si="7"/>
        <v>2.0094903869433178</v>
      </c>
      <c r="T58" s="17">
        <f t="shared" si="2"/>
        <v>1.8774163164999997</v>
      </c>
      <c r="U58" s="17">
        <f t="shared" si="3"/>
        <v>3.2785809523550915</v>
      </c>
      <c r="V58" s="17">
        <f t="shared" si="4"/>
        <v>2.4088346627000021</v>
      </c>
      <c r="W58" s="41"/>
      <c r="X58" s="41"/>
      <c r="Y58" s="41"/>
      <c r="Z58" s="41"/>
      <c r="AA58" s="41"/>
      <c r="AB58" s="41"/>
      <c r="AC58" s="41"/>
      <c r="AD58" s="41"/>
      <c r="AE58" s="6">
        <v>471</v>
      </c>
      <c r="AF58" s="6">
        <v>0.12</v>
      </c>
      <c r="AG58" s="6">
        <v>11.23</v>
      </c>
      <c r="AH58" s="6">
        <v>78</v>
      </c>
      <c r="AI58" s="6">
        <v>7</v>
      </c>
      <c r="AJ58" s="22"/>
      <c r="AK58" s="53"/>
      <c r="AL58" s="53"/>
      <c r="AM58" s="54"/>
      <c r="AN58" s="54"/>
    </row>
    <row r="59" spans="1:40" x14ac:dyDescent="0.25">
      <c r="A59" s="39"/>
      <c r="B59" s="12">
        <v>80239</v>
      </c>
      <c r="C59" s="19">
        <v>97.536000000000001</v>
      </c>
      <c r="D59" s="14">
        <f t="shared" si="6"/>
        <v>320.00001023999999</v>
      </c>
      <c r="E59" s="13" t="s">
        <v>31</v>
      </c>
      <c r="F59" s="24" t="s">
        <v>32</v>
      </c>
      <c r="G59" s="19" t="s">
        <v>33</v>
      </c>
      <c r="H59" s="15" t="s">
        <v>41</v>
      </c>
      <c r="I59" s="15" t="s">
        <v>48</v>
      </c>
      <c r="J59" s="52">
        <v>2.0299999999999998</v>
      </c>
      <c r="K59" s="41">
        <v>70.92</v>
      </c>
      <c r="L59" s="17">
        <v>4.7012795220213164</v>
      </c>
      <c r="M59" s="42">
        <v>419.17500000000001</v>
      </c>
      <c r="N59" s="19">
        <v>18.48936455923274</v>
      </c>
      <c r="O59" s="43">
        <v>0.56999999999999995</v>
      </c>
      <c r="P59" s="17">
        <v>1.6878141177671894E-2</v>
      </c>
      <c r="Q59" s="44">
        <v>241</v>
      </c>
      <c r="R59" s="18">
        <v>5.1449058266433667</v>
      </c>
      <c r="S59" s="30">
        <f t="shared" si="7"/>
        <v>1.3776648977285433</v>
      </c>
      <c r="T59" s="17">
        <f t="shared" si="2"/>
        <v>1.5554556638000001</v>
      </c>
      <c r="U59" s="17">
        <f t="shared" si="3"/>
        <v>2.5991840945302598</v>
      </c>
      <c r="V59" s="17">
        <f t="shared" si="4"/>
        <v>2.1369835198999994</v>
      </c>
      <c r="W59" s="41"/>
      <c r="X59" s="41"/>
      <c r="Y59" s="41"/>
      <c r="Z59" s="41"/>
      <c r="AA59" s="41"/>
      <c r="AB59" s="41"/>
      <c r="AC59" s="41"/>
      <c r="AD59" s="41"/>
      <c r="AE59" s="6">
        <v>364</v>
      </c>
      <c r="AF59" s="6">
        <v>0.24</v>
      </c>
      <c r="AG59" s="6">
        <v>0.76</v>
      </c>
      <c r="AH59" s="6">
        <v>179</v>
      </c>
      <c r="AI59" s="6">
        <v>63</v>
      </c>
      <c r="AJ59" s="22"/>
      <c r="AK59" s="53"/>
      <c r="AL59" s="53"/>
      <c r="AM59" s="54"/>
      <c r="AN59" s="54"/>
    </row>
    <row r="60" spans="1:40" x14ac:dyDescent="0.25">
      <c r="A60" s="39"/>
      <c r="B60" s="12">
        <v>80040</v>
      </c>
      <c r="C60" s="19">
        <v>106.68</v>
      </c>
      <c r="D60" s="14">
        <f t="shared" si="6"/>
        <v>350.00001120000002</v>
      </c>
      <c r="E60" s="13" t="s">
        <v>31</v>
      </c>
      <c r="F60" s="24" t="s">
        <v>32</v>
      </c>
      <c r="G60" s="19" t="s">
        <v>33</v>
      </c>
      <c r="H60" s="15" t="s">
        <v>41</v>
      </c>
      <c r="I60" s="15" t="s">
        <v>42</v>
      </c>
      <c r="J60" s="45" t="s">
        <v>73</v>
      </c>
      <c r="K60" s="41">
        <v>71.16</v>
      </c>
      <c r="L60" s="17">
        <v>2.5872697496799466</v>
      </c>
      <c r="M60" s="42">
        <v>427.39</v>
      </c>
      <c r="N60" s="19">
        <v>23.635213015757007</v>
      </c>
      <c r="O60" s="43">
        <v>0.57999999999999996</v>
      </c>
      <c r="P60" s="17">
        <v>2.9473824887013823E-2</v>
      </c>
      <c r="Q60" s="44">
        <v>238</v>
      </c>
      <c r="R60" s="18">
        <v>4.4915429176803814</v>
      </c>
      <c r="S60" s="30">
        <f t="shared" si="7"/>
        <v>1.3585375737035887</v>
      </c>
      <c r="T60" s="17">
        <f t="shared" si="2"/>
        <v>1.3384999782999998</v>
      </c>
      <c r="U60" s="17">
        <f t="shared" si="3"/>
        <v>2.3142624318525309</v>
      </c>
      <c r="V60" s="17">
        <f t="shared" si="4"/>
        <v>1.7292068057000023</v>
      </c>
      <c r="W60" s="41"/>
      <c r="X60" s="41"/>
      <c r="AD60" s="41"/>
      <c r="AE60" s="6">
        <v>440</v>
      </c>
      <c r="AF60" s="6">
        <v>0.23</v>
      </c>
      <c r="AG60" s="6">
        <v>2.85</v>
      </c>
      <c r="AH60" s="6">
        <v>79</v>
      </c>
      <c r="AI60" s="6">
        <v>47</v>
      </c>
      <c r="AJ60" s="22"/>
      <c r="AK60" s="53"/>
      <c r="AL60" s="53"/>
      <c r="AM60" s="54"/>
      <c r="AN60" s="54"/>
    </row>
    <row r="61" spans="1:40" x14ac:dyDescent="0.25">
      <c r="A61" s="39"/>
      <c r="B61" s="12">
        <v>80042</v>
      </c>
      <c r="C61" s="19">
        <v>137.16</v>
      </c>
      <c r="D61" s="14">
        <f t="shared" si="6"/>
        <v>450.0000144</v>
      </c>
      <c r="E61" s="13" t="s">
        <v>31</v>
      </c>
      <c r="F61" s="24" t="s">
        <v>32</v>
      </c>
      <c r="G61" s="19" t="s">
        <v>33</v>
      </c>
      <c r="H61" s="15" t="s">
        <v>41</v>
      </c>
      <c r="I61" s="15" t="s">
        <v>42</v>
      </c>
      <c r="J61" s="52">
        <v>1.44</v>
      </c>
      <c r="K61" s="41">
        <v>68.89</v>
      </c>
      <c r="L61" s="17">
        <v>3.4923336536453937</v>
      </c>
      <c r="M61" s="42">
        <v>410.637</v>
      </c>
      <c r="N61" s="19">
        <v>21.380862302660173</v>
      </c>
      <c r="O61" s="43">
        <v>0.56000000000000005</v>
      </c>
      <c r="P61" s="17">
        <v>3.0323727862194155E-2</v>
      </c>
      <c r="Q61" s="44">
        <v>236</v>
      </c>
      <c r="R61" s="18">
        <v>3.782501418891373</v>
      </c>
      <c r="S61" s="30">
        <f t="shared" si="7"/>
        <v>1.5506081878682971</v>
      </c>
      <c r="T61" s="17">
        <f t="shared" si="2"/>
        <v>1.7809416823999999</v>
      </c>
      <c r="U61" s="17">
        <f t="shared" si="3"/>
        <v>2.9191840407879761</v>
      </c>
      <c r="V61" s="17">
        <f t="shared" si="4"/>
        <v>1.4573556628999995</v>
      </c>
      <c r="W61" s="41"/>
      <c r="X61" s="41"/>
      <c r="Y61" s="41"/>
      <c r="Z61" s="41"/>
      <c r="AA61" s="41"/>
      <c r="AB61" s="41"/>
      <c r="AC61" s="41"/>
      <c r="AD61" s="41"/>
      <c r="AE61" s="6">
        <v>387</v>
      </c>
      <c r="AF61" s="6">
        <v>0.43</v>
      </c>
      <c r="AG61" s="16">
        <v>5.0999999999999996</v>
      </c>
      <c r="AH61" s="6">
        <v>174</v>
      </c>
      <c r="AI61" s="6">
        <v>23</v>
      </c>
      <c r="AJ61" s="22"/>
      <c r="AK61" s="53"/>
      <c r="AL61" s="53"/>
      <c r="AM61" s="54"/>
      <c r="AN61" s="54"/>
    </row>
    <row r="62" spans="1:40" x14ac:dyDescent="0.25">
      <c r="A62" s="39"/>
      <c r="B62" s="12">
        <v>80043</v>
      </c>
      <c r="C62" s="19">
        <v>146.304</v>
      </c>
      <c r="D62" s="14">
        <f t="shared" si="6"/>
        <v>480.00001536000002</v>
      </c>
      <c r="E62" s="13" t="s">
        <v>31</v>
      </c>
      <c r="F62" s="24" t="s">
        <v>32</v>
      </c>
      <c r="G62" s="19" t="s">
        <v>33</v>
      </c>
      <c r="H62" s="15" t="s">
        <v>41</v>
      </c>
      <c r="I62" s="15" t="s">
        <v>42</v>
      </c>
      <c r="J62" s="52">
        <v>1.51</v>
      </c>
      <c r="K62" s="41">
        <v>69.510000000000005</v>
      </c>
      <c r="L62" s="17">
        <v>0.79023105133235239</v>
      </c>
      <c r="M62" s="42">
        <v>404.66500000000002</v>
      </c>
      <c r="N62" s="19">
        <v>13.914116455168131</v>
      </c>
      <c r="O62" s="43">
        <v>0.56000000000000005</v>
      </c>
      <c r="P62" s="17">
        <v>1.8683772921911108E-2</v>
      </c>
      <c r="Q62" s="44">
        <v>237</v>
      </c>
      <c r="R62" s="18">
        <v>4.476885745100148</v>
      </c>
      <c r="S62" s="30">
        <f t="shared" si="7"/>
        <v>1.4956026697375033</v>
      </c>
      <c r="T62" s="17">
        <f t="shared" si="2"/>
        <v>1.938660410799999</v>
      </c>
      <c r="U62" s="17">
        <f t="shared" si="3"/>
        <v>2.9191840407879761</v>
      </c>
      <c r="V62" s="17">
        <f t="shared" si="4"/>
        <v>1.5932812343000009</v>
      </c>
      <c r="W62" s="41">
        <v>73.78</v>
      </c>
      <c r="X62" s="41"/>
      <c r="Y62" s="41">
        <v>420.62599999999998</v>
      </c>
      <c r="Z62" s="41"/>
      <c r="AA62" s="41">
        <v>0.64</v>
      </c>
      <c r="AB62" s="41"/>
      <c r="AC62" s="41">
        <v>262.24</v>
      </c>
      <c r="AD62" s="41"/>
      <c r="AE62" s="6">
        <v>371</v>
      </c>
      <c r="AF62" s="6">
        <v>0.25</v>
      </c>
      <c r="AG62" s="6">
        <v>3.47</v>
      </c>
      <c r="AH62" s="6">
        <v>95</v>
      </c>
      <c r="AI62" s="6">
        <v>17</v>
      </c>
      <c r="AJ62" s="22"/>
      <c r="AK62" s="53"/>
      <c r="AL62" s="53"/>
      <c r="AM62" s="54"/>
      <c r="AN62" s="54"/>
    </row>
    <row r="63" spans="1:40" x14ac:dyDescent="0.25">
      <c r="A63" s="39"/>
      <c r="B63" s="12">
        <v>80044</v>
      </c>
      <c r="C63" s="19">
        <v>152.4</v>
      </c>
      <c r="D63" s="14">
        <f t="shared" si="6"/>
        <v>500.00001600000002</v>
      </c>
      <c r="E63" s="13" t="s">
        <v>31</v>
      </c>
      <c r="F63" s="24" t="s">
        <v>32</v>
      </c>
      <c r="G63" s="19" t="s">
        <v>33</v>
      </c>
      <c r="H63" s="15" t="s">
        <v>41</v>
      </c>
      <c r="I63" s="15" t="s">
        <v>42</v>
      </c>
      <c r="J63" s="52">
        <v>1.68</v>
      </c>
      <c r="K63" s="41">
        <v>68.89</v>
      </c>
      <c r="L63" s="17">
        <v>3.6410933088850146</v>
      </c>
      <c r="M63" s="42">
        <v>404.84800000000001</v>
      </c>
      <c r="N63" s="19">
        <v>24.638936835296587</v>
      </c>
      <c r="O63" s="43">
        <v>0.54</v>
      </c>
      <c r="P63" s="17">
        <v>3.1137430946693502E-2</v>
      </c>
      <c r="Q63" s="44">
        <v>240</v>
      </c>
      <c r="R63" s="18">
        <v>4.061633125542631</v>
      </c>
      <c r="S63" s="30">
        <f t="shared" si="7"/>
        <v>1.5506081878682971</v>
      </c>
      <c r="T63" s="17">
        <f t="shared" si="2"/>
        <v>1.9338274356999996</v>
      </c>
      <c r="U63" s="17">
        <f t="shared" si="3"/>
        <v>3.6822252077824165</v>
      </c>
      <c r="V63" s="17">
        <f t="shared" si="4"/>
        <v>2.001057948499998</v>
      </c>
      <c r="W63" s="41"/>
      <c r="X63" s="41"/>
      <c r="Y63" s="41"/>
      <c r="Z63" s="41"/>
      <c r="AA63" s="41"/>
      <c r="AB63" s="41"/>
      <c r="AC63" s="41"/>
      <c r="AD63" s="41"/>
      <c r="AE63" s="6">
        <v>386</v>
      </c>
      <c r="AF63" s="6">
        <v>0.21</v>
      </c>
      <c r="AG63" s="6">
        <v>5.72</v>
      </c>
      <c r="AH63" s="6">
        <v>84</v>
      </c>
      <c r="AI63" s="6">
        <v>13</v>
      </c>
      <c r="AJ63" s="22"/>
      <c r="AK63" s="53"/>
      <c r="AL63" s="53"/>
      <c r="AM63" s="54"/>
      <c r="AN63" s="54"/>
    </row>
    <row r="64" spans="1:40" x14ac:dyDescent="0.25">
      <c r="A64" s="39"/>
      <c r="B64" s="12">
        <v>80045</v>
      </c>
      <c r="C64" s="19">
        <v>167.64000000000001</v>
      </c>
      <c r="D64" s="14">
        <f t="shared" si="6"/>
        <v>550.00001760000009</v>
      </c>
      <c r="E64" s="13" t="s">
        <v>31</v>
      </c>
      <c r="F64" s="24" t="s">
        <v>32</v>
      </c>
      <c r="G64" s="19" t="s">
        <v>33</v>
      </c>
      <c r="H64" s="15" t="s">
        <v>41</v>
      </c>
      <c r="I64" s="15" t="s">
        <v>48</v>
      </c>
      <c r="J64" s="52">
        <v>2.0699999999999998</v>
      </c>
      <c r="K64" s="41">
        <v>61.21</v>
      </c>
      <c r="L64" s="17">
        <v>4.7873612353730817</v>
      </c>
      <c r="M64" s="42">
        <v>372</v>
      </c>
      <c r="N64" s="19">
        <v>37.003065220269704</v>
      </c>
      <c r="O64" s="43">
        <v>0.56999999999999995</v>
      </c>
      <c r="P64" s="17">
        <v>4.1705581945616091E-2</v>
      </c>
      <c r="Q64" s="44">
        <v>254.5</v>
      </c>
      <c r="R64" s="18">
        <v>5.9225505122051505</v>
      </c>
      <c r="S64" s="30">
        <f t="shared" si="7"/>
        <v>2.425515786120453</v>
      </c>
      <c r="T64" s="17">
        <f t="shared" si="2"/>
        <v>2.8013332612999999</v>
      </c>
      <c r="U64" s="17">
        <f t="shared" si="3"/>
        <v>2.5991840945302598</v>
      </c>
      <c r="V64" s="17">
        <f t="shared" si="4"/>
        <v>3.9719787338000003</v>
      </c>
      <c r="W64" s="41"/>
      <c r="X64" s="41"/>
      <c r="Y64" s="41"/>
      <c r="Z64" s="41"/>
      <c r="AA64" s="41"/>
      <c r="AB64" s="41"/>
      <c r="AC64" s="41"/>
      <c r="AD64" s="41"/>
      <c r="AE64" s="6">
        <v>393</v>
      </c>
      <c r="AF64" s="16">
        <v>0.7</v>
      </c>
      <c r="AG64" s="6">
        <v>4.75</v>
      </c>
      <c r="AH64" s="6">
        <v>128</v>
      </c>
      <c r="AI64" s="6">
        <v>12</v>
      </c>
      <c r="AJ64" s="22"/>
      <c r="AK64" s="53"/>
      <c r="AL64" s="53"/>
      <c r="AM64" s="54"/>
      <c r="AN64" s="54"/>
    </row>
    <row r="65" spans="1:40" x14ac:dyDescent="0.25">
      <c r="A65" s="39"/>
      <c r="B65" s="12">
        <v>80046</v>
      </c>
      <c r="C65" s="19">
        <v>173.73600000000002</v>
      </c>
      <c r="D65" s="14">
        <f t="shared" si="6"/>
        <v>570.00001824000003</v>
      </c>
      <c r="E65" s="13" t="s">
        <v>31</v>
      </c>
      <c r="F65" s="24" t="s">
        <v>32</v>
      </c>
      <c r="G65" s="19" t="s">
        <v>33</v>
      </c>
      <c r="H65" s="15" t="s">
        <v>41</v>
      </c>
      <c r="I65" s="15" t="s">
        <v>48</v>
      </c>
      <c r="J65" s="52">
        <v>3.8</v>
      </c>
      <c r="K65" s="41">
        <v>57.09</v>
      </c>
      <c r="L65" s="17">
        <v>1.4890687275758308</v>
      </c>
      <c r="M65" s="42">
        <v>365.572</v>
      </c>
      <c r="N65" s="19">
        <v>10.963840681823076</v>
      </c>
      <c r="O65" s="43">
        <v>0.53</v>
      </c>
      <c r="P65" s="17">
        <v>1.3999389871573533E-2</v>
      </c>
      <c r="Q65" s="44">
        <v>252</v>
      </c>
      <c r="R65" s="18">
        <v>4.2329502550815086</v>
      </c>
      <c r="S65" s="30">
        <f t="shared" si="7"/>
        <v>3.0834651911539224</v>
      </c>
      <c r="T65" s="17">
        <f t="shared" si="2"/>
        <v>2.9710948129000005</v>
      </c>
      <c r="U65" s="17">
        <f t="shared" si="3"/>
        <v>4.1355643425820023</v>
      </c>
      <c r="V65" s="17">
        <f t="shared" si="4"/>
        <v>3.6321648053000004</v>
      </c>
      <c r="W65" s="41"/>
      <c r="X65" s="41"/>
      <c r="Y65" s="41"/>
      <c r="Z65" s="41"/>
      <c r="AA65" s="41"/>
      <c r="AB65" s="41"/>
      <c r="AC65" s="41"/>
      <c r="AD65" s="41"/>
      <c r="AE65" s="6">
        <v>383</v>
      </c>
      <c r="AF65" s="6">
        <v>0.65</v>
      </c>
      <c r="AG65" s="6">
        <v>3.84</v>
      </c>
      <c r="AH65" s="6">
        <v>133</v>
      </c>
      <c r="AI65" s="6">
        <v>14</v>
      </c>
      <c r="AJ65" s="22"/>
      <c r="AK65" s="53"/>
      <c r="AL65" s="53"/>
      <c r="AM65" s="54"/>
      <c r="AN65" s="54"/>
    </row>
    <row r="66" spans="1:40" x14ac:dyDescent="0.25">
      <c r="D66" s="19"/>
      <c r="F66" s="24"/>
      <c r="L66" s="16"/>
      <c r="N66" s="19"/>
      <c r="S66" s="30"/>
      <c r="T66" s="17"/>
      <c r="U66" s="17"/>
      <c r="V66" s="17"/>
    </row>
    <row r="67" spans="1:40" x14ac:dyDescent="0.25">
      <c r="A67" s="39" t="s">
        <v>52</v>
      </c>
      <c r="B67" s="12">
        <v>75847</v>
      </c>
      <c r="C67" s="19">
        <v>250</v>
      </c>
      <c r="D67" s="14">
        <f t="shared" si="6"/>
        <v>820.21</v>
      </c>
      <c r="E67" s="13" t="s">
        <v>31</v>
      </c>
      <c r="F67" s="24" t="s">
        <v>32</v>
      </c>
      <c r="G67" s="19" t="s">
        <v>53</v>
      </c>
      <c r="H67" s="15" t="s">
        <v>54</v>
      </c>
      <c r="I67" s="15" t="s">
        <v>55</v>
      </c>
      <c r="J67" s="36">
        <v>0.55000000000000004</v>
      </c>
      <c r="K67" s="37">
        <v>88.771141714285775</v>
      </c>
      <c r="L67" s="17">
        <v>3.6415592792051301</v>
      </c>
      <c r="M67" s="38">
        <v>460.48777756342298</v>
      </c>
      <c r="N67" s="19">
        <v>9.254999999999999</v>
      </c>
      <c r="O67" s="17">
        <v>0.60859314914107965</v>
      </c>
      <c r="P67" s="17">
        <v>2.4091735813078666E-2</v>
      </c>
      <c r="Q67" s="18">
        <v>233.48157900000007</v>
      </c>
      <c r="R67" s="18">
        <v>8.2392130023725905</v>
      </c>
      <c r="S67" s="30">
        <f t="shared" ref="S67:S72" si="8">85.7830385291*EXP(-0.058254813*K67)</f>
        <v>0.48698353789959031</v>
      </c>
      <c r="T67" s="17">
        <f t="shared" si="2"/>
        <v>0.46439760218326853</v>
      </c>
      <c r="U67" s="17">
        <f t="shared" si="3"/>
        <v>1.6604785330423355</v>
      </c>
      <c r="V67" s="17">
        <f t="shared" si="4"/>
        <v>1.1150378494492479</v>
      </c>
      <c r="W67" s="37"/>
      <c r="X67" s="37"/>
      <c r="Y67" s="37"/>
      <c r="Z67" s="37"/>
      <c r="AA67" s="37"/>
      <c r="AB67" s="37"/>
      <c r="AC67" s="37"/>
      <c r="AD67" s="37"/>
      <c r="AE67" s="6">
        <v>432</v>
      </c>
      <c r="AF67" s="16">
        <v>0.1</v>
      </c>
      <c r="AG67" s="6">
        <v>3.51</v>
      </c>
      <c r="AH67" s="6">
        <v>94</v>
      </c>
      <c r="AI67" s="6">
        <v>69</v>
      </c>
      <c r="AJ67" s="22"/>
    </row>
    <row r="68" spans="1:40" x14ac:dyDescent="0.25">
      <c r="A68" s="35" t="s">
        <v>56</v>
      </c>
      <c r="B68" s="12">
        <v>75848</v>
      </c>
      <c r="C68" s="19">
        <v>512</v>
      </c>
      <c r="D68" s="14">
        <f t="shared" si="6"/>
        <v>1679.79008</v>
      </c>
      <c r="E68" s="13" t="s">
        <v>31</v>
      </c>
      <c r="F68" s="24" t="s">
        <v>32</v>
      </c>
      <c r="G68" s="19" t="s">
        <v>53</v>
      </c>
      <c r="H68" s="55" t="s">
        <v>57</v>
      </c>
      <c r="I68" s="46" t="s">
        <v>58</v>
      </c>
      <c r="J68" s="36">
        <v>0.7</v>
      </c>
      <c r="K68" s="37">
        <v>77.278759874999935</v>
      </c>
      <c r="L68" s="17">
        <v>1.3224929631755709</v>
      </c>
      <c r="M68" s="38">
        <v>437.58157657242498</v>
      </c>
      <c r="N68" s="19">
        <v>12.042</v>
      </c>
      <c r="O68" s="17">
        <v>0.58931839800123176</v>
      </c>
      <c r="P68" s="17">
        <v>3.7743674172259073E-2</v>
      </c>
      <c r="Q68" s="18">
        <v>237.65709712500009</v>
      </c>
      <c r="R68" s="18">
        <v>6.1587057159445413</v>
      </c>
      <c r="S68" s="30">
        <f t="shared" si="8"/>
        <v>0.95119289363602944</v>
      </c>
      <c r="T68" s="17">
        <f t="shared" ref="T68:T97" si="9">-0.0000264097*(M68*1000)+12.6257416613</f>
        <v>1.069343498495229</v>
      </c>
      <c r="U68" s="17">
        <f t="shared" ref="U68:U97" si="10">1945.4938205866*EXP(-11.6106553161*O68)</f>
        <v>2.076945543097529</v>
      </c>
      <c r="V68" s="17">
        <f t="shared" ref="V68:V97" si="11">0.1359255714*Q68-30.6210791875</f>
        <v>1.6825975364809338</v>
      </c>
      <c r="W68" s="37"/>
      <c r="X68" s="37"/>
      <c r="Y68" s="37"/>
      <c r="Z68" s="37"/>
      <c r="AA68" s="37"/>
      <c r="AB68" s="37"/>
      <c r="AC68" s="37"/>
      <c r="AD68" s="37"/>
      <c r="AE68" s="6">
        <v>432</v>
      </c>
      <c r="AF68" s="16">
        <v>0.05</v>
      </c>
      <c r="AG68" s="6">
        <v>6.81</v>
      </c>
      <c r="AH68" s="6">
        <v>119</v>
      </c>
      <c r="AI68" s="6">
        <v>28</v>
      </c>
      <c r="AJ68" s="22"/>
    </row>
    <row r="69" spans="1:40" x14ac:dyDescent="0.25">
      <c r="A69" s="35" t="s">
        <v>59</v>
      </c>
      <c r="B69" s="12">
        <v>75849</v>
      </c>
      <c r="C69" s="19">
        <v>758</v>
      </c>
      <c r="D69" s="14">
        <f t="shared" si="6"/>
        <v>2486.8767200000002</v>
      </c>
      <c r="E69" s="13" t="s">
        <v>31</v>
      </c>
      <c r="F69" s="24" t="s">
        <v>32</v>
      </c>
      <c r="G69" s="19" t="s">
        <v>53</v>
      </c>
      <c r="H69" s="55" t="s">
        <v>60</v>
      </c>
      <c r="I69" s="46" t="s">
        <v>61</v>
      </c>
      <c r="J69" s="36">
        <v>0.8</v>
      </c>
      <c r="K69" s="37">
        <v>72</v>
      </c>
      <c r="L69" s="16">
        <v>1.04</v>
      </c>
      <c r="M69" s="38">
        <v>415.19858650575202</v>
      </c>
      <c r="N69" s="19">
        <v>7.2450000000000001</v>
      </c>
      <c r="O69" s="17">
        <v>0.57391728171086465</v>
      </c>
      <c r="P69" s="16">
        <v>7.0000000000000007E-2</v>
      </c>
      <c r="Q69" s="18">
        <v>246.88532600000008</v>
      </c>
      <c r="R69" s="16"/>
      <c r="S69" s="30">
        <f t="shared" si="8"/>
        <v>1.2936591648341123</v>
      </c>
      <c r="T69" s="17">
        <f t="shared" si="9"/>
        <v>1.6604715512590413</v>
      </c>
      <c r="U69" s="17">
        <f t="shared" si="10"/>
        <v>2.4836155418046548</v>
      </c>
      <c r="V69" s="17">
        <f t="shared" si="11"/>
        <v>2.9369498193252852</v>
      </c>
      <c r="W69" s="37"/>
      <c r="X69" s="37"/>
      <c r="Y69" s="37"/>
      <c r="Z69" s="37"/>
      <c r="AA69" s="37"/>
      <c r="AB69" s="37"/>
      <c r="AC69" s="37"/>
      <c r="AD69" s="37"/>
      <c r="AE69" s="6">
        <v>436</v>
      </c>
      <c r="AF69" s="16">
        <v>0.18</v>
      </c>
      <c r="AG69" s="6">
        <v>0.65</v>
      </c>
      <c r="AH69" s="6">
        <v>97</v>
      </c>
      <c r="AI69" s="6">
        <v>132</v>
      </c>
      <c r="AJ69" s="22"/>
    </row>
    <row r="70" spans="1:40" x14ac:dyDescent="0.25">
      <c r="A70" s="47"/>
      <c r="B70" s="12">
        <v>75850</v>
      </c>
      <c r="C70" s="19">
        <v>1002</v>
      </c>
      <c r="D70" s="14">
        <f t="shared" si="6"/>
        <v>3287.4016799999999</v>
      </c>
      <c r="E70" s="13" t="s">
        <v>31</v>
      </c>
      <c r="F70" s="24" t="s">
        <v>32</v>
      </c>
      <c r="G70" s="19" t="s">
        <v>53</v>
      </c>
      <c r="H70" s="55" t="s">
        <v>62</v>
      </c>
      <c r="I70" s="46" t="s">
        <v>63</v>
      </c>
      <c r="J70" s="36">
        <v>0.9</v>
      </c>
      <c r="K70" s="37">
        <v>74.070590600000102</v>
      </c>
      <c r="L70" s="17">
        <v>0.81690299928129695</v>
      </c>
      <c r="M70" s="38">
        <v>442.46978953376703</v>
      </c>
      <c r="N70" s="19">
        <v>30.414999999999999</v>
      </c>
      <c r="O70" s="17">
        <v>0.61488524158331825</v>
      </c>
      <c r="P70" s="17">
        <v>9.3192422224733576E-2</v>
      </c>
      <c r="Q70" s="18">
        <v>243.09114420000009</v>
      </c>
      <c r="R70" s="18">
        <v>6.3905819252699647</v>
      </c>
      <c r="S70" s="30">
        <f t="shared" si="8"/>
        <v>1.1466594586172658</v>
      </c>
      <c r="T70" s="17">
        <f t="shared" si="9"/>
        <v>0.94024726065007336</v>
      </c>
      <c r="U70" s="17">
        <f t="shared" si="10"/>
        <v>1.5434968392531401</v>
      </c>
      <c r="V70" s="17">
        <f t="shared" si="11"/>
        <v>2.421223490164806</v>
      </c>
      <c r="W70" s="37"/>
      <c r="X70" s="37"/>
      <c r="Y70" s="37"/>
      <c r="Z70" s="37"/>
      <c r="AA70" s="37"/>
      <c r="AB70" s="37"/>
      <c r="AC70" s="37"/>
      <c r="AD70" s="37"/>
      <c r="AE70" s="6">
        <v>447</v>
      </c>
      <c r="AF70" s="16">
        <v>0.1</v>
      </c>
      <c r="AG70" s="16">
        <v>3.7</v>
      </c>
      <c r="AH70" s="6">
        <v>127</v>
      </c>
      <c r="AI70" s="6">
        <v>18</v>
      </c>
      <c r="AJ70" s="22"/>
    </row>
    <row r="71" spans="1:40" x14ac:dyDescent="0.25">
      <c r="A71" s="39"/>
      <c r="B71" s="12">
        <v>75851</v>
      </c>
      <c r="C71" s="19">
        <v>1252</v>
      </c>
      <c r="D71" s="14">
        <f t="shared" si="6"/>
        <v>4107.61168</v>
      </c>
      <c r="E71" s="13" t="s">
        <v>31</v>
      </c>
      <c r="F71" s="24" t="s">
        <v>32</v>
      </c>
      <c r="G71" s="19" t="s">
        <v>53</v>
      </c>
      <c r="H71" s="55" t="s">
        <v>62</v>
      </c>
      <c r="I71" s="46" t="s">
        <v>63</v>
      </c>
      <c r="J71" s="36">
        <v>1.2</v>
      </c>
      <c r="K71" s="37">
        <v>69.268077200000022</v>
      </c>
      <c r="L71" s="17">
        <v>1.9446493984363034</v>
      </c>
      <c r="M71" s="38">
        <v>431.61941539746198</v>
      </c>
      <c r="N71" s="19">
        <v>23.044999999999998</v>
      </c>
      <c r="O71" s="17">
        <v>0.6135173686585419</v>
      </c>
      <c r="P71" s="17">
        <v>3.8980426687619481E-2</v>
      </c>
      <c r="Q71" s="18">
        <v>250.78959760000006</v>
      </c>
      <c r="R71" s="18">
        <v>12.873113843435689</v>
      </c>
      <c r="S71" s="30">
        <f t="shared" si="8"/>
        <v>1.5168296751721095</v>
      </c>
      <c r="T71" s="17">
        <f t="shared" si="9"/>
        <v>1.2268023864776492</v>
      </c>
      <c r="U71" s="17">
        <f t="shared" si="10"/>
        <v>1.568206199750001</v>
      </c>
      <c r="V71" s="17">
        <f t="shared" si="11"/>
        <v>3.4676401674560751</v>
      </c>
      <c r="W71" s="37"/>
      <c r="X71" s="37"/>
      <c r="Y71" s="37"/>
      <c r="Z71" s="37"/>
      <c r="AA71" s="37"/>
      <c r="AB71" s="37"/>
      <c r="AC71" s="37"/>
      <c r="AD71" s="37"/>
      <c r="AE71" s="6">
        <v>449</v>
      </c>
      <c r="AF71" s="6">
        <v>0.18</v>
      </c>
      <c r="AG71" s="6">
        <v>0.95</v>
      </c>
      <c r="AH71" s="6">
        <v>97</v>
      </c>
      <c r="AI71" s="6">
        <v>52</v>
      </c>
      <c r="AJ71" s="22"/>
    </row>
    <row r="72" spans="1:40" x14ac:dyDescent="0.25">
      <c r="A72" s="39"/>
      <c r="B72" s="12">
        <v>75852</v>
      </c>
      <c r="C72" s="19">
        <v>1590</v>
      </c>
      <c r="D72" s="14">
        <f t="shared" si="6"/>
        <v>5216.5356000000002</v>
      </c>
      <c r="E72" s="13" t="s">
        <v>31</v>
      </c>
      <c r="F72" s="24" t="s">
        <v>32</v>
      </c>
      <c r="G72" s="19" t="s">
        <v>53</v>
      </c>
      <c r="H72" s="55" t="s">
        <v>62</v>
      </c>
      <c r="I72" s="46" t="s">
        <v>64</v>
      </c>
      <c r="J72" s="36">
        <v>1.4</v>
      </c>
      <c r="K72" s="37">
        <v>68.059089600000064</v>
      </c>
      <c r="L72" s="17">
        <v>1.700531132938973</v>
      </c>
      <c r="M72" s="38">
        <v>440.47318040850001</v>
      </c>
      <c r="N72" s="19">
        <v>10.256</v>
      </c>
      <c r="O72" s="17">
        <v>0.60250711971219073</v>
      </c>
      <c r="P72" s="17">
        <v>3.223732217194536E-2</v>
      </c>
      <c r="Q72" s="18">
        <v>243.3953446000001</v>
      </c>
      <c r="R72" s="18">
        <v>11.467834556953234</v>
      </c>
      <c r="S72" s="30">
        <f t="shared" si="8"/>
        <v>1.6275108523877697</v>
      </c>
      <c r="T72" s="17">
        <f t="shared" si="9"/>
        <v>0.99297710866563627</v>
      </c>
      <c r="U72" s="17">
        <f t="shared" si="10"/>
        <v>1.7820575499719082</v>
      </c>
      <c r="V72" s="17">
        <f t="shared" si="11"/>
        <v>2.4625721033549155</v>
      </c>
      <c r="W72" s="37"/>
      <c r="X72" s="37"/>
      <c r="Y72" s="37"/>
      <c r="Z72" s="37"/>
      <c r="AA72" s="37"/>
      <c r="AB72" s="37"/>
      <c r="AC72" s="37"/>
      <c r="AD72" s="37"/>
      <c r="AE72" s="6">
        <v>488</v>
      </c>
      <c r="AF72" s="56">
        <v>0.32</v>
      </c>
      <c r="AG72" s="6">
        <v>1.86</v>
      </c>
      <c r="AH72" s="6">
        <v>22</v>
      </c>
      <c r="AI72" s="6">
        <v>16</v>
      </c>
      <c r="AJ72" s="22"/>
    </row>
    <row r="73" spans="1:40" x14ac:dyDescent="0.25">
      <c r="D73" s="19"/>
      <c r="F73" s="24"/>
      <c r="H73" s="57"/>
      <c r="I73" s="57"/>
      <c r="J73" s="52"/>
      <c r="K73" s="41"/>
      <c r="L73" s="41"/>
      <c r="M73" s="41"/>
      <c r="N73" s="19"/>
      <c r="O73" s="41"/>
      <c r="P73" s="41"/>
      <c r="Q73" s="41"/>
      <c r="R73" s="41"/>
      <c r="S73" s="30"/>
      <c r="T73" s="17"/>
      <c r="U73" s="17"/>
      <c r="V73" s="17"/>
      <c r="W73" s="41"/>
      <c r="X73" s="41"/>
      <c r="Y73" s="41"/>
      <c r="Z73" s="41"/>
      <c r="AA73" s="41"/>
      <c r="AB73" s="41"/>
      <c r="AC73" s="41"/>
      <c r="AD73" s="41"/>
      <c r="AJ73" s="16"/>
    </row>
    <row r="74" spans="1:40" x14ac:dyDescent="0.25">
      <c r="A74" s="39" t="s">
        <v>65</v>
      </c>
      <c r="B74" s="12">
        <v>75853</v>
      </c>
      <c r="C74" s="19">
        <v>249.69520800000004</v>
      </c>
      <c r="D74" s="14">
        <f t="shared" si="6"/>
        <v>819.21002621472007</v>
      </c>
      <c r="E74" s="13" t="s">
        <v>31</v>
      </c>
      <c r="F74" s="24" t="s">
        <v>32</v>
      </c>
      <c r="G74" s="19" t="s">
        <v>53</v>
      </c>
      <c r="H74" s="55" t="s">
        <v>62</v>
      </c>
      <c r="I74" s="58" t="s">
        <v>63</v>
      </c>
      <c r="J74" s="36">
        <v>0.65</v>
      </c>
      <c r="K74" s="37">
        <v>74.650000000000006</v>
      </c>
      <c r="L74" s="17">
        <v>5.2459190486437368</v>
      </c>
      <c r="M74" s="38">
        <v>447.89041626248701</v>
      </c>
      <c r="N74" s="19">
        <v>20.561915367940337</v>
      </c>
      <c r="O74" s="17">
        <v>0.61</v>
      </c>
      <c r="P74" s="17">
        <v>1.8925197733983292E-2</v>
      </c>
      <c r="Q74" s="18">
        <v>237.62</v>
      </c>
      <c r="R74" s="18">
        <v>12.019543693127098</v>
      </c>
      <c r="S74" s="30">
        <f t="shared" ref="S74:S80" si="12">85.7830385291*EXP(-0.058254813*K74)</f>
        <v>1.1086017209441308</v>
      </c>
      <c r="T74" s="17">
        <f t="shared" si="9"/>
        <v>0.79709013493259739</v>
      </c>
      <c r="U74" s="17">
        <f t="shared" si="10"/>
        <v>1.6335758309206181</v>
      </c>
      <c r="V74" s="17">
        <f t="shared" si="11"/>
        <v>1.6775550885679991</v>
      </c>
      <c r="W74" s="37"/>
      <c r="X74" s="37"/>
      <c r="Y74" s="37"/>
      <c r="Z74" s="37"/>
      <c r="AA74" s="37"/>
      <c r="AB74" s="37"/>
      <c r="AC74" s="37"/>
      <c r="AD74" s="37"/>
      <c r="AE74" s="6">
        <v>444</v>
      </c>
      <c r="AF74" s="6">
        <v>0.14000000000000001</v>
      </c>
      <c r="AG74" s="6">
        <v>3.39</v>
      </c>
      <c r="AH74" s="6">
        <v>160</v>
      </c>
      <c r="AI74" s="6">
        <v>6</v>
      </c>
      <c r="AJ74" s="16">
        <v>0.52</v>
      </c>
    </row>
    <row r="75" spans="1:40" x14ac:dyDescent="0.25">
      <c r="A75" s="35" t="s">
        <v>66</v>
      </c>
      <c r="B75" s="12">
        <v>75854</v>
      </c>
      <c r="C75" s="19">
        <v>480.9744</v>
      </c>
      <c r="D75" s="14">
        <f t="shared" si="6"/>
        <v>1578.0000504960001</v>
      </c>
      <c r="E75" s="13" t="s">
        <v>31</v>
      </c>
      <c r="F75" s="24" t="s">
        <v>32</v>
      </c>
      <c r="G75" s="19" t="s">
        <v>53</v>
      </c>
      <c r="H75" s="55" t="s">
        <v>62</v>
      </c>
      <c r="I75" s="58" t="s">
        <v>64</v>
      </c>
      <c r="J75" s="36">
        <v>0.7</v>
      </c>
      <c r="K75" s="37">
        <v>79.17</v>
      </c>
      <c r="L75" s="17">
        <v>0.53384834800000003</v>
      </c>
      <c r="M75" s="38">
        <v>479.60139745643397</v>
      </c>
      <c r="N75" s="19">
        <v>52.628805911694691</v>
      </c>
      <c r="O75" s="17">
        <v>0.63548713441905091</v>
      </c>
      <c r="P75" s="17">
        <v>3.7395364308197366E-3</v>
      </c>
      <c r="Q75" s="18">
        <v>241.32827500000008</v>
      </c>
      <c r="R75" s="18">
        <v>3.131676938925843</v>
      </c>
      <c r="S75" s="30">
        <f t="shared" si="12"/>
        <v>0.8519629454115526</v>
      </c>
      <c r="T75" s="17">
        <f t="shared" si="9"/>
        <v>-4.0387365105184259E-2</v>
      </c>
      <c r="U75" s="17">
        <f t="shared" si="10"/>
        <v>1.2151275377243553</v>
      </c>
      <c r="V75" s="17">
        <f t="shared" si="11"/>
        <v>2.1816044868513416</v>
      </c>
      <c r="W75" s="37"/>
      <c r="X75" s="37"/>
      <c r="Y75" s="37"/>
      <c r="Z75" s="37"/>
      <c r="AA75" s="37"/>
      <c r="AB75" s="37"/>
      <c r="AC75" s="37"/>
      <c r="AD75" s="37"/>
      <c r="AE75" s="6">
        <v>445</v>
      </c>
      <c r="AF75" s="6">
        <v>0.15</v>
      </c>
      <c r="AG75" s="6">
        <v>0.61</v>
      </c>
      <c r="AH75" s="6">
        <v>92</v>
      </c>
      <c r="AI75" s="6">
        <v>36</v>
      </c>
      <c r="AJ75" s="16">
        <v>0.55000000000000004</v>
      </c>
    </row>
    <row r="76" spans="1:40" x14ac:dyDescent="0.25">
      <c r="A76" s="35" t="s">
        <v>67</v>
      </c>
      <c r="B76" s="12">
        <v>75855</v>
      </c>
      <c r="C76" s="19">
        <v>502.92</v>
      </c>
      <c r="D76" s="14">
        <f t="shared" si="6"/>
        <v>1650.0000528</v>
      </c>
      <c r="E76" s="13" t="s">
        <v>31</v>
      </c>
      <c r="F76" s="24" t="s">
        <v>32</v>
      </c>
      <c r="G76" s="19" t="s">
        <v>53</v>
      </c>
      <c r="H76" s="55" t="s">
        <v>62</v>
      </c>
      <c r="I76" s="58" t="s">
        <v>64</v>
      </c>
      <c r="J76" s="36">
        <v>1.4</v>
      </c>
      <c r="K76" s="37">
        <v>65.676488500000048</v>
      </c>
      <c r="L76" s="17">
        <v>4.3326623846769481</v>
      </c>
      <c r="M76" s="38">
        <v>448.82100000000003</v>
      </c>
      <c r="N76" s="19">
        <v>30.581699762256385</v>
      </c>
      <c r="O76" s="17">
        <v>0.5949454519010412</v>
      </c>
      <c r="P76" s="17">
        <v>4.7033910554738871E-2</v>
      </c>
      <c r="Q76" s="18">
        <v>246.27</v>
      </c>
      <c r="R76" s="18">
        <v>5.7965008634446598</v>
      </c>
      <c r="S76" s="30">
        <f t="shared" si="12"/>
        <v>1.8698341643089247</v>
      </c>
      <c r="T76" s="17">
        <f t="shared" si="9"/>
        <v>0.77251369759999911</v>
      </c>
      <c r="U76" s="17">
        <f t="shared" si="10"/>
        <v>1.9455885783220559</v>
      </c>
      <c r="V76" s="17">
        <f t="shared" si="11"/>
        <v>2.8533112811780015</v>
      </c>
      <c r="W76" s="37"/>
      <c r="X76" s="37"/>
      <c r="Y76" s="37"/>
      <c r="Z76" s="37"/>
      <c r="AA76" s="37"/>
      <c r="AB76" s="37"/>
      <c r="AC76" s="37"/>
      <c r="AD76" s="37"/>
      <c r="AE76" s="6">
        <v>449</v>
      </c>
      <c r="AF76" s="6">
        <v>0.16</v>
      </c>
      <c r="AG76" s="6">
        <v>0.55000000000000004</v>
      </c>
      <c r="AH76" s="6">
        <v>115</v>
      </c>
      <c r="AI76" s="6">
        <v>27</v>
      </c>
      <c r="AJ76" s="22"/>
    </row>
    <row r="77" spans="1:40" x14ac:dyDescent="0.25">
      <c r="A77" s="47"/>
      <c r="B77" s="12">
        <v>75856</v>
      </c>
      <c r="C77" s="19">
        <v>621.79200000000003</v>
      </c>
      <c r="D77" s="14">
        <f t="shared" si="6"/>
        <v>2040.0000652800002</v>
      </c>
      <c r="E77" s="13" t="s">
        <v>31</v>
      </c>
      <c r="F77" s="24" t="s">
        <v>32</v>
      </c>
      <c r="G77" s="19" t="s">
        <v>53</v>
      </c>
      <c r="H77" s="55" t="s">
        <v>62</v>
      </c>
      <c r="I77" s="58" t="s">
        <v>64</v>
      </c>
      <c r="J77" s="36">
        <v>1.4</v>
      </c>
      <c r="K77" s="37">
        <v>69.796777500000019</v>
      </c>
      <c r="L77" s="17">
        <v>10.393885737398604</v>
      </c>
      <c r="M77" s="38">
        <v>465.77971641358101</v>
      </c>
      <c r="N77" s="19">
        <v>47.105466925778074</v>
      </c>
      <c r="O77" s="17">
        <v>0.67852894404863995</v>
      </c>
      <c r="P77" s="17">
        <v>2.5724075053603156E-2</v>
      </c>
      <c r="Q77" s="18">
        <v>244.91506900000007</v>
      </c>
      <c r="R77" s="18">
        <v>12.397199835837583</v>
      </c>
      <c r="S77" s="30">
        <f t="shared" si="12"/>
        <v>1.4708244288676229</v>
      </c>
      <c r="T77" s="17">
        <f t="shared" si="9"/>
        <v>0.32463908473225089</v>
      </c>
      <c r="U77" s="17">
        <f t="shared" si="10"/>
        <v>0.73720108958254704</v>
      </c>
      <c r="V77" s="17">
        <f t="shared" si="11"/>
        <v>2.6691415107954342</v>
      </c>
      <c r="W77" s="37"/>
      <c r="X77" s="37"/>
      <c r="Y77" s="37"/>
      <c r="Z77" s="37"/>
      <c r="AA77" s="37"/>
      <c r="AB77" s="37"/>
      <c r="AC77" s="37"/>
      <c r="AD77" s="37"/>
      <c r="AE77" s="6">
        <v>448</v>
      </c>
      <c r="AF77" s="6">
        <v>0.15</v>
      </c>
      <c r="AG77" s="6">
        <v>0.24</v>
      </c>
      <c r="AH77" s="6">
        <v>88</v>
      </c>
      <c r="AI77" s="6">
        <v>12</v>
      </c>
      <c r="AJ77" s="22"/>
    </row>
    <row r="78" spans="1:40" x14ac:dyDescent="0.25">
      <c r="A78" s="39"/>
      <c r="B78" s="12">
        <v>75857</v>
      </c>
      <c r="C78" s="19">
        <v>839.41920000000005</v>
      </c>
      <c r="D78" s="14">
        <f t="shared" si="6"/>
        <v>2754.0000881280002</v>
      </c>
      <c r="E78" s="13" t="s">
        <v>31</v>
      </c>
      <c r="F78" s="24" t="s">
        <v>32</v>
      </c>
      <c r="G78" s="19" t="s">
        <v>53</v>
      </c>
      <c r="H78" s="55" t="s">
        <v>62</v>
      </c>
      <c r="I78" s="58" t="s">
        <v>64</v>
      </c>
      <c r="J78" s="36">
        <v>1.1000000000000001</v>
      </c>
      <c r="K78" s="37">
        <v>75.162623666666676</v>
      </c>
      <c r="L78" s="17">
        <v>3.7891811736317358</v>
      </c>
      <c r="M78" s="38">
        <v>475.310941166639</v>
      </c>
      <c r="N78" s="19">
        <v>48.357809864232721</v>
      </c>
      <c r="O78" s="17">
        <v>0.65417629321440984</v>
      </c>
      <c r="P78" s="17">
        <v>7.1220625986810129E-2</v>
      </c>
      <c r="Q78" s="18">
        <v>241.75105833333342</v>
      </c>
      <c r="R78" s="18">
        <v>8.8928124583247463</v>
      </c>
      <c r="S78" s="30">
        <f t="shared" si="12"/>
        <v>1.075985208092713</v>
      </c>
      <c r="T78" s="17">
        <f t="shared" si="9"/>
        <v>7.292229837141484E-2</v>
      </c>
      <c r="U78" s="17">
        <f t="shared" si="10"/>
        <v>0.97809904573577866</v>
      </c>
      <c r="V78" s="17">
        <f t="shared" si="11"/>
        <v>2.2390715530130763</v>
      </c>
      <c r="W78" s="37"/>
      <c r="X78" s="37"/>
      <c r="Y78" s="37"/>
      <c r="Z78" s="37"/>
      <c r="AA78" s="37"/>
      <c r="AB78" s="37"/>
      <c r="AC78" s="37"/>
      <c r="AD78" s="37"/>
      <c r="AE78" s="6">
        <v>434</v>
      </c>
      <c r="AF78" s="6">
        <v>0.14000000000000001</v>
      </c>
      <c r="AG78" s="16">
        <v>0.9</v>
      </c>
      <c r="AH78" s="6">
        <v>113</v>
      </c>
      <c r="AI78" s="6">
        <v>22</v>
      </c>
      <c r="AJ78" s="16">
        <v>0.44</v>
      </c>
    </row>
    <row r="79" spans="1:40" x14ac:dyDescent="0.25">
      <c r="A79" s="39"/>
      <c r="B79" s="12">
        <v>75858</v>
      </c>
      <c r="C79" s="19">
        <v>955.8528</v>
      </c>
      <c r="D79" s="14">
        <f t="shared" si="6"/>
        <v>3136.0001003520001</v>
      </c>
      <c r="E79" s="13" t="s">
        <v>31</v>
      </c>
      <c r="F79" s="24" t="s">
        <v>32</v>
      </c>
      <c r="G79" s="19" t="s">
        <v>53</v>
      </c>
      <c r="H79" s="55" t="s">
        <v>62</v>
      </c>
      <c r="I79" s="58" t="s">
        <v>64</v>
      </c>
      <c r="J79" s="36">
        <v>1.2</v>
      </c>
      <c r="K79" s="37">
        <v>65.67</v>
      </c>
      <c r="L79" s="17">
        <v>5.9745834999999943</v>
      </c>
      <c r="M79" s="38">
        <v>474.73700000000002</v>
      </c>
      <c r="N79" s="19">
        <v>90.516230397430718</v>
      </c>
      <c r="O79" s="17">
        <v>0.65</v>
      </c>
      <c r="P79" s="17">
        <v>0.10112930585356597</v>
      </c>
      <c r="Q79" s="18">
        <v>233.51</v>
      </c>
      <c r="R79" s="18">
        <v>14.843939235279448</v>
      </c>
      <c r="S79" s="30">
        <f t="shared" si="12"/>
        <v>1.8705410696994424</v>
      </c>
      <c r="T79" s="17">
        <f t="shared" si="9"/>
        <v>8.8079912399999571E-2</v>
      </c>
      <c r="U79" s="17">
        <f t="shared" si="10"/>
        <v>1.0266952621723666</v>
      </c>
      <c r="V79" s="17">
        <f t="shared" si="11"/>
        <v>1.1189009901139961</v>
      </c>
      <c r="W79" s="37"/>
      <c r="X79" s="37"/>
      <c r="Y79" s="37"/>
      <c r="Z79" s="37"/>
      <c r="AA79" s="37"/>
      <c r="AB79" s="37"/>
      <c r="AC79" s="37"/>
      <c r="AD79" s="37"/>
      <c r="AE79" s="6">
        <v>458</v>
      </c>
      <c r="AF79" s="6">
        <v>0.23</v>
      </c>
      <c r="AG79" s="16">
        <v>0.88</v>
      </c>
      <c r="AH79" s="6">
        <v>59</v>
      </c>
      <c r="AI79" s="6">
        <v>9</v>
      </c>
      <c r="AJ79" s="22"/>
    </row>
    <row r="80" spans="1:40" x14ac:dyDescent="0.25">
      <c r="A80" s="39"/>
      <c r="B80" s="12">
        <v>75859</v>
      </c>
      <c r="C80" s="19">
        <v>1400.556</v>
      </c>
      <c r="D80" s="14">
        <f t="shared" si="6"/>
        <v>4595.0001470400002</v>
      </c>
      <c r="E80" s="13" t="s">
        <v>31</v>
      </c>
      <c r="F80" s="24" t="s">
        <v>32</v>
      </c>
      <c r="G80" s="19" t="s">
        <v>53</v>
      </c>
      <c r="H80" s="55" t="s">
        <v>62</v>
      </c>
      <c r="I80" s="58" t="s">
        <v>64</v>
      </c>
      <c r="J80" s="36">
        <v>1.6</v>
      </c>
      <c r="K80" s="37">
        <v>61.13</v>
      </c>
      <c r="L80" s="17">
        <v>1.9808047911090452</v>
      </c>
      <c r="M80" s="38">
        <v>464.73548376502498</v>
      </c>
      <c r="N80" s="19">
        <v>69.979491214269999</v>
      </c>
      <c r="O80" s="17">
        <v>0.66</v>
      </c>
      <c r="P80" s="17">
        <v>1.7246603576260434E-2</v>
      </c>
      <c r="Q80" s="18">
        <v>249.33</v>
      </c>
      <c r="R80" s="18">
        <v>8.6595032927347191</v>
      </c>
      <c r="S80" s="30">
        <f t="shared" si="12"/>
        <v>2.4368460046880069</v>
      </c>
      <c r="T80" s="17">
        <f t="shared" si="9"/>
        <v>0.35221695571081924</v>
      </c>
      <c r="U80" s="17">
        <f t="shared" si="10"/>
        <v>0.914149282156139</v>
      </c>
      <c r="V80" s="17">
        <f t="shared" si="11"/>
        <v>3.269243529661999</v>
      </c>
      <c r="W80" s="37"/>
      <c r="X80" s="37"/>
      <c r="Y80" s="37"/>
      <c r="Z80" s="37"/>
      <c r="AA80" s="37"/>
      <c r="AB80" s="37"/>
      <c r="AC80" s="37"/>
      <c r="AD80" s="37"/>
      <c r="AE80" s="6">
        <v>435</v>
      </c>
      <c r="AF80" s="6">
        <v>0.04</v>
      </c>
      <c r="AG80" s="16">
        <v>1.7</v>
      </c>
      <c r="AH80" s="6">
        <v>180</v>
      </c>
      <c r="AI80" s="6">
        <v>46</v>
      </c>
      <c r="AJ80" s="16">
        <v>0.44</v>
      </c>
    </row>
    <row r="81" spans="1:36" x14ac:dyDescent="0.25">
      <c r="D81" s="19"/>
      <c r="F81" s="24"/>
      <c r="H81" s="59"/>
      <c r="I81" s="59"/>
      <c r="J81" s="52"/>
      <c r="K81" s="41"/>
      <c r="L81" s="17"/>
      <c r="M81" s="42"/>
      <c r="N81" s="19"/>
      <c r="O81" s="43"/>
      <c r="P81" s="60"/>
      <c r="Q81" s="44"/>
      <c r="R81" s="18"/>
      <c r="S81" s="30"/>
      <c r="T81" s="17"/>
      <c r="U81" s="17"/>
      <c r="V81" s="17"/>
      <c r="W81" s="41"/>
      <c r="X81" s="41"/>
      <c r="Y81" s="41"/>
      <c r="Z81" s="41"/>
      <c r="AA81" s="41"/>
      <c r="AB81" s="41"/>
      <c r="AC81" s="41"/>
      <c r="AD81" s="41"/>
      <c r="AJ81" s="16"/>
    </row>
    <row r="82" spans="1:36" x14ac:dyDescent="0.25">
      <c r="A82" s="39" t="s">
        <v>68</v>
      </c>
      <c r="B82" s="12">
        <v>75860</v>
      </c>
      <c r="C82" s="19">
        <f>2505*0.3048</f>
        <v>763.524</v>
      </c>
      <c r="D82" s="14">
        <f t="shared" si="6"/>
        <v>2505.0000801599999</v>
      </c>
      <c r="E82" s="13" t="s">
        <v>31</v>
      </c>
      <c r="F82" s="24" t="s">
        <v>32</v>
      </c>
      <c r="G82" s="19" t="s">
        <v>53</v>
      </c>
      <c r="H82" s="58" t="s">
        <v>57</v>
      </c>
      <c r="I82" s="58" t="s">
        <v>58</v>
      </c>
      <c r="J82" s="36">
        <v>0.5</v>
      </c>
      <c r="K82" s="37">
        <v>90.729309499999943</v>
      </c>
      <c r="L82" s="17">
        <v>2.8256137561308208</v>
      </c>
      <c r="M82" s="38">
        <v>469.95637462428903</v>
      </c>
      <c r="N82" s="19">
        <v>10.245000000000001</v>
      </c>
      <c r="O82" s="17">
        <v>0.66872454494172073</v>
      </c>
      <c r="P82" s="17">
        <v>7.7709346407038332E-2</v>
      </c>
      <c r="Q82" s="18">
        <v>224.67398125000005</v>
      </c>
      <c r="R82" s="18">
        <v>6.6108306754557136</v>
      </c>
      <c r="S82" s="30">
        <f>85.7830385291*EXP(-0.058254813*K82)</f>
        <v>0.43448334877807943</v>
      </c>
      <c r="T82" s="17">
        <f t="shared" si="9"/>
        <v>0.21433479438491254</v>
      </c>
      <c r="U82" s="17">
        <f t="shared" si="10"/>
        <v>0.82608378450951003</v>
      </c>
      <c r="V82" s="17">
        <f t="shared" si="11"/>
        <v>-8.2139907380856414E-2</v>
      </c>
      <c r="W82" s="37">
        <v>81.180000000000007</v>
      </c>
      <c r="X82" s="37"/>
      <c r="Y82" s="16">
        <v>337.53199999999998</v>
      </c>
      <c r="Z82" s="16"/>
      <c r="AA82" s="16">
        <v>0.57999999999999996</v>
      </c>
      <c r="AB82" s="16"/>
      <c r="AC82" s="16">
        <v>264.08</v>
      </c>
      <c r="AD82" s="37"/>
      <c r="AE82" s="6">
        <v>423</v>
      </c>
      <c r="AF82" s="6">
        <v>0.03</v>
      </c>
      <c r="AG82" s="6">
        <v>27.33</v>
      </c>
      <c r="AH82" s="6">
        <v>133</v>
      </c>
      <c r="AI82" s="6">
        <v>28</v>
      </c>
      <c r="AJ82" s="16">
        <v>0.49</v>
      </c>
    </row>
    <row r="83" spans="1:36" x14ac:dyDescent="0.25">
      <c r="A83" s="35" t="s">
        <v>69</v>
      </c>
      <c r="B83" s="12">
        <v>75861</v>
      </c>
      <c r="C83" s="19">
        <v>897.33120000000008</v>
      </c>
      <c r="D83" s="14">
        <f t="shared" ref="D83:D88" si="13">C83*3.28084</f>
        <v>2944.0000942080001</v>
      </c>
      <c r="E83" s="13" t="s">
        <v>31</v>
      </c>
      <c r="F83" s="24" t="s">
        <v>32</v>
      </c>
      <c r="G83" s="19" t="s">
        <v>53</v>
      </c>
      <c r="H83" s="58" t="s">
        <v>57</v>
      </c>
      <c r="I83" s="58" t="s">
        <v>58</v>
      </c>
      <c r="J83" s="36">
        <v>0.6</v>
      </c>
      <c r="K83" s="97" t="s">
        <v>73</v>
      </c>
      <c r="L83" s="97" t="s">
        <v>73</v>
      </c>
      <c r="M83" s="97" t="s">
        <v>73</v>
      </c>
      <c r="N83" s="97" t="s">
        <v>73</v>
      </c>
      <c r="O83" s="97" t="s">
        <v>73</v>
      </c>
      <c r="P83" s="97" t="s">
        <v>73</v>
      </c>
      <c r="Q83" s="97" t="s">
        <v>73</v>
      </c>
      <c r="R83" s="97" t="s">
        <v>73</v>
      </c>
      <c r="S83" s="97" t="s">
        <v>73</v>
      </c>
      <c r="T83" s="97" t="s">
        <v>73</v>
      </c>
      <c r="U83" s="97" t="s">
        <v>73</v>
      </c>
      <c r="V83" s="97" t="s">
        <v>73</v>
      </c>
      <c r="W83" s="45"/>
      <c r="X83" s="46"/>
      <c r="Y83" s="46"/>
      <c r="Z83" s="46"/>
      <c r="AA83" s="46"/>
      <c r="AB83" s="46"/>
      <c r="AC83" s="46"/>
      <c r="AD83" s="46"/>
      <c r="AE83" s="6">
        <v>427</v>
      </c>
      <c r="AF83" s="6">
        <v>0.12</v>
      </c>
      <c r="AG83" s="6">
        <v>1.03</v>
      </c>
      <c r="AH83" s="6">
        <v>71</v>
      </c>
      <c r="AI83" s="6">
        <v>167</v>
      </c>
      <c r="AJ83" s="16">
        <v>0.44</v>
      </c>
    </row>
    <row r="84" spans="1:36" x14ac:dyDescent="0.25">
      <c r="A84" s="35" t="s">
        <v>70</v>
      </c>
      <c r="B84" s="12">
        <v>75862</v>
      </c>
      <c r="C84" s="19">
        <v>1089.3552</v>
      </c>
      <c r="D84" s="14">
        <f t="shared" si="13"/>
        <v>3574.0001143679997</v>
      </c>
      <c r="E84" s="13" t="s">
        <v>31</v>
      </c>
      <c r="F84" s="24" t="s">
        <v>32</v>
      </c>
      <c r="G84" s="19" t="s">
        <v>53</v>
      </c>
      <c r="H84" s="58" t="s">
        <v>57</v>
      </c>
      <c r="I84" s="58" t="s">
        <v>58</v>
      </c>
      <c r="J84" s="36">
        <v>0.61</v>
      </c>
      <c r="K84" s="97" t="s">
        <v>73</v>
      </c>
      <c r="L84" s="97" t="s">
        <v>73</v>
      </c>
      <c r="M84" s="97" t="s">
        <v>73</v>
      </c>
      <c r="N84" s="97" t="s">
        <v>73</v>
      </c>
      <c r="O84" s="97" t="s">
        <v>73</v>
      </c>
      <c r="P84" s="97" t="s">
        <v>73</v>
      </c>
      <c r="Q84" s="97" t="s">
        <v>73</v>
      </c>
      <c r="R84" s="97" t="s">
        <v>73</v>
      </c>
      <c r="S84" s="97" t="s">
        <v>73</v>
      </c>
      <c r="T84" s="97" t="s">
        <v>73</v>
      </c>
      <c r="U84" s="97" t="s">
        <v>73</v>
      </c>
      <c r="V84" s="97" t="s">
        <v>73</v>
      </c>
      <c r="W84" s="45"/>
      <c r="X84" s="46"/>
      <c r="Y84" s="46"/>
      <c r="Z84" s="46"/>
      <c r="AA84" s="46"/>
      <c r="AB84" s="46"/>
      <c r="AC84" s="46"/>
      <c r="AD84" s="46"/>
      <c r="AE84" s="6">
        <v>431</v>
      </c>
      <c r="AF84" s="6">
        <v>0.16</v>
      </c>
      <c r="AG84" s="16">
        <v>1.7</v>
      </c>
      <c r="AH84" s="6">
        <v>48</v>
      </c>
      <c r="AI84" s="6">
        <v>43</v>
      </c>
      <c r="AJ84" s="16">
        <v>0.45</v>
      </c>
    </row>
    <row r="85" spans="1:36" x14ac:dyDescent="0.25">
      <c r="A85" s="47"/>
      <c r="B85" s="12">
        <v>75863</v>
      </c>
      <c r="C85" s="19">
        <f>4272*0.3048</f>
        <v>1302.1056000000001</v>
      </c>
      <c r="D85" s="14">
        <f t="shared" si="13"/>
        <v>4272.0001367040004</v>
      </c>
      <c r="E85" s="13" t="s">
        <v>31</v>
      </c>
      <c r="F85" s="24" t="s">
        <v>32</v>
      </c>
      <c r="G85" s="19" t="s">
        <v>53</v>
      </c>
      <c r="H85" s="58" t="s">
        <v>60</v>
      </c>
      <c r="I85" s="58" t="s">
        <v>61</v>
      </c>
      <c r="J85" s="36">
        <v>0.71</v>
      </c>
      <c r="K85" s="37">
        <v>80.634401666666761</v>
      </c>
      <c r="L85" s="17">
        <v>0.86124840765714716</v>
      </c>
      <c r="M85" s="38">
        <v>458.748340931386</v>
      </c>
      <c r="N85" s="19">
        <v>16.603000000000002</v>
      </c>
      <c r="O85" s="17">
        <v>0.66245273314300124</v>
      </c>
      <c r="P85" s="17">
        <v>4.4507068172961115E-2</v>
      </c>
      <c r="Q85" s="18">
        <v>236.07391600000005</v>
      </c>
      <c r="R85" s="18">
        <v>13.27770073376684</v>
      </c>
      <c r="S85" s="30">
        <f>85.7830385291*EXP(-0.058254813*K85)</f>
        <v>0.78229709817536264</v>
      </c>
      <c r="T85" s="17">
        <f t="shared" si="9"/>
        <v>0.51033560180437476</v>
      </c>
      <c r="U85" s="17">
        <f t="shared" si="10"/>
        <v>0.88848347388972515</v>
      </c>
      <c r="V85" s="17">
        <f t="shared" si="11"/>
        <v>1.4674027374356058</v>
      </c>
      <c r="W85" s="37"/>
      <c r="X85" s="37"/>
      <c r="Y85" s="37"/>
      <c r="Z85" s="37"/>
      <c r="AA85" s="37"/>
      <c r="AB85" s="37"/>
      <c r="AC85" s="37"/>
      <c r="AD85" s="37"/>
      <c r="AE85" s="6">
        <v>438</v>
      </c>
      <c r="AF85" s="16">
        <v>0.1</v>
      </c>
      <c r="AG85" s="6">
        <v>1.27</v>
      </c>
      <c r="AH85" s="6">
        <v>99</v>
      </c>
      <c r="AI85" s="6">
        <v>42</v>
      </c>
      <c r="AJ85" s="16">
        <v>0.46</v>
      </c>
    </row>
    <row r="86" spans="1:36" x14ac:dyDescent="0.25">
      <c r="A86" s="39"/>
      <c r="B86" s="12">
        <v>75864</v>
      </c>
      <c r="C86" s="19">
        <f>5895*0.3048</f>
        <v>1796.796</v>
      </c>
      <c r="D86" s="14">
        <f t="shared" si="13"/>
        <v>5895.0001886400005</v>
      </c>
      <c r="E86" s="13" t="s">
        <v>31</v>
      </c>
      <c r="F86" s="24" t="s">
        <v>32</v>
      </c>
      <c r="G86" s="19" t="s">
        <v>53</v>
      </c>
      <c r="H86" s="58" t="s">
        <v>62</v>
      </c>
      <c r="I86" s="58" t="s">
        <v>63</v>
      </c>
      <c r="J86" s="36">
        <v>0.6</v>
      </c>
      <c r="K86" s="37">
        <v>80</v>
      </c>
      <c r="L86" s="17">
        <v>1.4666900820197097</v>
      </c>
      <c r="M86" s="38">
        <v>424.20158766158397</v>
      </c>
      <c r="N86" s="19">
        <v>25.331</v>
      </c>
      <c r="O86" s="17">
        <v>0.59998111984591695</v>
      </c>
      <c r="P86" s="17">
        <v>2.2060505083016019E-2</v>
      </c>
      <c r="Q86" s="18">
        <v>245.52921900000004</v>
      </c>
      <c r="R86" s="18">
        <v>12.011795363752233</v>
      </c>
      <c r="S86" s="30">
        <f>85.7830385291*EXP(-0.058254813*K86)</f>
        <v>0.81174929281149399</v>
      </c>
      <c r="T86" s="17">
        <f t="shared" si="9"/>
        <v>1.4227049916338661</v>
      </c>
      <c r="U86" s="17">
        <f t="shared" si="10"/>
        <v>1.8350966262206854</v>
      </c>
      <c r="V86" s="17">
        <f t="shared" si="11"/>
        <v>2.7526202004707443</v>
      </c>
      <c r="W86" s="37"/>
      <c r="X86" s="37"/>
      <c r="Y86" s="37"/>
      <c r="Z86" s="37"/>
      <c r="AA86" s="37"/>
      <c r="AB86" s="37"/>
      <c r="AC86" s="37"/>
      <c r="AD86" s="37"/>
      <c r="AE86" s="6">
        <v>434</v>
      </c>
      <c r="AF86" s="6">
        <v>0.22</v>
      </c>
      <c r="AG86" s="6">
        <v>3.13</v>
      </c>
      <c r="AH86" s="6">
        <v>84</v>
      </c>
      <c r="AI86" s="6">
        <v>41</v>
      </c>
      <c r="AJ86" s="16">
        <v>0.51</v>
      </c>
    </row>
    <row r="87" spans="1:36" x14ac:dyDescent="0.25">
      <c r="A87" s="39"/>
      <c r="B87" s="12">
        <v>75865</v>
      </c>
      <c r="C87" s="19">
        <f>6050*0.3048</f>
        <v>1844.0400000000002</v>
      </c>
      <c r="D87" s="14">
        <f t="shared" si="13"/>
        <v>6050.0001936000008</v>
      </c>
      <c r="E87" s="13" t="s">
        <v>31</v>
      </c>
      <c r="F87" s="24" t="s">
        <v>32</v>
      </c>
      <c r="G87" s="19" t="s">
        <v>53</v>
      </c>
      <c r="H87" s="58" t="s">
        <v>62</v>
      </c>
      <c r="I87" s="58" t="s">
        <v>64</v>
      </c>
      <c r="J87" s="36">
        <v>0.72</v>
      </c>
      <c r="K87" s="37">
        <v>79</v>
      </c>
      <c r="L87" s="17">
        <v>1.5400685960244562</v>
      </c>
      <c r="M87" s="38">
        <v>381.90452246237902</v>
      </c>
      <c r="N87" s="19">
        <v>40.561</v>
      </c>
      <c r="O87" s="17">
        <v>0.52266917970774784</v>
      </c>
      <c r="P87" s="17">
        <v>1.1199571758659658E-2</v>
      </c>
      <c r="Q87" s="18">
        <v>250.06735283333339</v>
      </c>
      <c r="R87" s="18">
        <v>7.3880448061002921</v>
      </c>
      <c r="S87" s="30">
        <f>85.7830385291*EXP(-0.058254813*K87)</f>
        <v>0.86044212225632333</v>
      </c>
      <c r="T87" s="17">
        <f t="shared" si="9"/>
        <v>2.5397577944253094</v>
      </c>
      <c r="U87" s="17">
        <f t="shared" si="10"/>
        <v>4.50298011887093</v>
      </c>
      <c r="V87" s="17">
        <f t="shared" si="11"/>
        <v>3.369468634856247</v>
      </c>
      <c r="W87" s="37"/>
      <c r="X87" s="37"/>
      <c r="Y87" s="37"/>
      <c r="Z87" s="37"/>
      <c r="AA87" s="37"/>
      <c r="AB87" s="37"/>
      <c r="AC87" s="37"/>
      <c r="AD87" s="37"/>
      <c r="AE87" s="6">
        <v>442</v>
      </c>
      <c r="AF87" s="6">
        <v>0.25</v>
      </c>
      <c r="AG87" s="6">
        <v>2.73</v>
      </c>
      <c r="AH87" s="6">
        <v>59</v>
      </c>
      <c r="AI87" s="6">
        <v>19</v>
      </c>
      <c r="AJ87" s="16">
        <v>0.53</v>
      </c>
    </row>
    <row r="88" spans="1:36" x14ac:dyDescent="0.25">
      <c r="A88" s="39"/>
      <c r="B88" s="12">
        <v>75866</v>
      </c>
      <c r="C88" s="19">
        <f>6233*0.3048</f>
        <v>1899.8184000000001</v>
      </c>
      <c r="D88" s="14">
        <f t="shared" si="13"/>
        <v>6233.0001994560007</v>
      </c>
      <c r="E88" s="13" t="s">
        <v>31</v>
      </c>
      <c r="F88" s="24" t="s">
        <v>32</v>
      </c>
      <c r="G88" s="19" t="s">
        <v>53</v>
      </c>
      <c r="H88" s="58" t="s">
        <v>62</v>
      </c>
      <c r="I88" s="58" t="s">
        <v>64</v>
      </c>
      <c r="J88" s="36">
        <v>0.75</v>
      </c>
      <c r="K88" s="37">
        <v>80.648805750000008</v>
      </c>
      <c r="L88" s="17">
        <v>1.4918619999999692</v>
      </c>
      <c r="M88" s="38">
        <v>464.84618574012501</v>
      </c>
      <c r="N88" s="19">
        <v>50.351999999999997</v>
      </c>
      <c r="O88" s="17">
        <v>0.67895717463446326</v>
      </c>
      <c r="P88" s="17">
        <v>8.9415306271355285E-2</v>
      </c>
      <c r="Q88" s="18">
        <v>246.82155350000011</v>
      </c>
      <c r="R88" s="18">
        <v>9.9499323577520951</v>
      </c>
      <c r="S88" s="30">
        <f>85.7830385291*EXP(-0.058254813*K88)</f>
        <v>0.78164094239361115</v>
      </c>
      <c r="T88" s="17">
        <f t="shared" si="9"/>
        <v>0.34929334975901938</v>
      </c>
      <c r="U88" s="17">
        <f t="shared" si="10"/>
        <v>0.73354479510153126</v>
      </c>
      <c r="V88" s="17">
        <f t="shared" si="11"/>
        <v>2.9282815058231861</v>
      </c>
      <c r="W88" s="37">
        <v>114.43</v>
      </c>
      <c r="X88" s="37"/>
      <c r="Y88" s="37">
        <v>379.28500000000003</v>
      </c>
      <c r="Z88" s="37"/>
      <c r="AA88" s="37">
        <v>0.69</v>
      </c>
      <c r="AB88" s="37"/>
      <c r="AC88" s="37">
        <v>258.56</v>
      </c>
      <c r="AD88" s="37"/>
      <c r="AE88" s="6">
        <v>441</v>
      </c>
      <c r="AF88" s="6">
        <v>0.24</v>
      </c>
      <c r="AG88" s="6">
        <v>1.96</v>
      </c>
      <c r="AH88" s="6">
        <v>49</v>
      </c>
      <c r="AI88" s="6">
        <v>22</v>
      </c>
      <c r="AJ88" s="16">
        <v>0.49</v>
      </c>
    </row>
    <row r="89" spans="1:36" x14ac:dyDescent="0.25">
      <c r="D89" s="19"/>
      <c r="F89" s="24"/>
      <c r="L89" s="16"/>
      <c r="N89" s="19"/>
      <c r="R89" s="19"/>
      <c r="S89" s="30"/>
      <c r="T89" s="17"/>
      <c r="U89" s="17"/>
      <c r="V89" s="17"/>
    </row>
    <row r="90" spans="1:36" x14ac:dyDescent="0.25">
      <c r="A90" s="39" t="s">
        <v>71</v>
      </c>
      <c r="B90" s="12">
        <v>80051</v>
      </c>
      <c r="C90" s="6">
        <v>451</v>
      </c>
      <c r="D90" s="14">
        <f t="shared" ref="D90:D95" si="14">C90*3.28084</f>
        <v>1479.6588400000001</v>
      </c>
      <c r="E90" s="13" t="s">
        <v>31</v>
      </c>
      <c r="F90" s="24" t="s">
        <v>32</v>
      </c>
      <c r="G90" s="19" t="s">
        <v>53</v>
      </c>
      <c r="H90" s="46" t="s">
        <v>72</v>
      </c>
      <c r="I90" s="50" t="s">
        <v>73</v>
      </c>
      <c r="J90" s="52">
        <v>0.59</v>
      </c>
      <c r="K90" s="41">
        <v>86.46</v>
      </c>
      <c r="L90" s="17">
        <v>4.1975461394051905</v>
      </c>
      <c r="M90" s="42">
        <v>462.42099999999999</v>
      </c>
      <c r="N90" s="19">
        <v>32.230842442418329</v>
      </c>
      <c r="O90" s="43">
        <v>0.62</v>
      </c>
      <c r="P90" s="17">
        <v>2.8395711364870346E-2</v>
      </c>
      <c r="Q90" s="44">
        <v>230</v>
      </c>
      <c r="R90" s="18">
        <v>7.4899782247431315</v>
      </c>
      <c r="S90" s="30">
        <f>85.7830385291*EXP(-0.058254813*K90)</f>
        <v>0.55716724089435332</v>
      </c>
      <c r="T90" s="17">
        <f t="shared" si="9"/>
        <v>0.41334177759999946</v>
      </c>
      <c r="U90" s="17">
        <f t="shared" si="10"/>
        <v>1.4545038125762724</v>
      </c>
      <c r="V90" s="17">
        <f t="shared" si="11"/>
        <v>0.64180223449999829</v>
      </c>
      <c r="W90" s="41"/>
      <c r="X90" s="41"/>
      <c r="Y90" s="41"/>
      <c r="Z90" s="41"/>
      <c r="AA90" s="41"/>
      <c r="AB90" s="41"/>
      <c r="AC90" s="41"/>
      <c r="AD90" s="41"/>
      <c r="AE90" s="6">
        <v>430</v>
      </c>
      <c r="AF90" s="6">
        <v>0.05</v>
      </c>
      <c r="AG90" s="6">
        <v>9.23</v>
      </c>
      <c r="AH90" s="6">
        <v>227</v>
      </c>
      <c r="AI90" s="6">
        <v>24</v>
      </c>
      <c r="AJ90" s="22"/>
    </row>
    <row r="91" spans="1:36" x14ac:dyDescent="0.25">
      <c r="A91" s="35" t="s">
        <v>74</v>
      </c>
      <c r="B91" s="12">
        <v>80052</v>
      </c>
      <c r="C91" s="6">
        <v>499</v>
      </c>
      <c r="D91" s="14">
        <f t="shared" si="14"/>
        <v>1637.1391599999999</v>
      </c>
      <c r="E91" s="13" t="s">
        <v>31</v>
      </c>
      <c r="F91" s="24" t="s">
        <v>32</v>
      </c>
      <c r="G91" s="19" t="s">
        <v>53</v>
      </c>
      <c r="H91" s="46" t="s">
        <v>72</v>
      </c>
      <c r="I91" s="50" t="s">
        <v>73</v>
      </c>
      <c r="J91" s="52">
        <v>0.59</v>
      </c>
      <c r="K91" s="41">
        <v>86.18</v>
      </c>
      <c r="L91" s="17">
        <v>1.7301313925538111</v>
      </c>
      <c r="M91" s="42">
        <v>466.42099999999999</v>
      </c>
      <c r="N91" s="19">
        <v>19.488065683463546</v>
      </c>
      <c r="O91" s="43">
        <v>0.62</v>
      </c>
      <c r="P91" s="17">
        <v>2.0489447391690216E-2</v>
      </c>
      <c r="Q91" s="44">
        <v>233</v>
      </c>
      <c r="R91" s="18">
        <v>3.8596535164585468</v>
      </c>
      <c r="S91" s="30">
        <f>85.7830385291*EXP(-0.058254813*K91)</f>
        <v>0.5663299140771163</v>
      </c>
      <c r="T91" s="17">
        <f t="shared" si="9"/>
        <v>0.30770297759999998</v>
      </c>
      <c r="U91" s="17">
        <f t="shared" si="10"/>
        <v>1.4545038125762724</v>
      </c>
      <c r="V91" s="17">
        <f t="shared" si="11"/>
        <v>1.0495789486999989</v>
      </c>
      <c r="W91" s="41"/>
      <c r="X91" s="41"/>
      <c r="Y91" s="41"/>
      <c r="Z91" s="41"/>
      <c r="AA91" s="41"/>
      <c r="AB91" s="41"/>
      <c r="AC91" s="41"/>
      <c r="AD91" s="41"/>
      <c r="AE91" s="6">
        <v>426</v>
      </c>
      <c r="AF91" s="6">
        <v>0.04</v>
      </c>
      <c r="AG91" s="6">
        <v>13.01</v>
      </c>
      <c r="AH91" s="6">
        <v>177</v>
      </c>
      <c r="AI91" s="6">
        <v>19</v>
      </c>
      <c r="AJ91" s="22"/>
    </row>
    <row r="92" spans="1:36" x14ac:dyDescent="0.25">
      <c r="A92" s="35" t="s">
        <v>75</v>
      </c>
      <c r="B92" s="12">
        <v>80053</v>
      </c>
      <c r="C92" s="6">
        <v>748</v>
      </c>
      <c r="D92" s="14">
        <f t="shared" si="14"/>
        <v>2454.0683199999999</v>
      </c>
      <c r="E92" s="13" t="s">
        <v>31</v>
      </c>
      <c r="F92" s="24" t="s">
        <v>32</v>
      </c>
      <c r="G92" s="19" t="s">
        <v>53</v>
      </c>
      <c r="H92" s="46" t="s">
        <v>72</v>
      </c>
      <c r="I92" s="50" t="s">
        <v>73</v>
      </c>
      <c r="J92" s="52">
        <v>0.71</v>
      </c>
      <c r="K92" s="41">
        <v>81.06</v>
      </c>
      <c r="L92" s="17">
        <v>4.8356740751523146</v>
      </c>
      <c r="M92" s="42">
        <v>462.28699999999998</v>
      </c>
      <c r="N92" s="19">
        <v>28.280098947174189</v>
      </c>
      <c r="O92" s="43">
        <v>0.64</v>
      </c>
      <c r="P92" s="17">
        <v>1.7616256758175533E-2</v>
      </c>
      <c r="Q92" s="44">
        <v>238</v>
      </c>
      <c r="R92" s="18">
        <v>5.041978877206736</v>
      </c>
      <c r="S92" s="30">
        <f>85.7830385291*EXP(-0.058254813*K92)</f>
        <v>0.76313995216722508</v>
      </c>
      <c r="T92" s="17">
        <f t="shared" si="9"/>
        <v>0.41688067740000001</v>
      </c>
      <c r="U92" s="17">
        <f t="shared" si="10"/>
        <v>1.1530974009856962</v>
      </c>
      <c r="V92" s="17">
        <f t="shared" si="11"/>
        <v>1.7292068057000023</v>
      </c>
      <c r="W92" s="41"/>
      <c r="X92" s="41"/>
      <c r="Y92" s="41"/>
      <c r="Z92" s="41"/>
      <c r="AA92" s="41"/>
      <c r="AB92" s="41"/>
      <c r="AC92" s="41"/>
      <c r="AD92" s="41"/>
      <c r="AE92" s="6">
        <v>431</v>
      </c>
      <c r="AF92" s="6">
        <v>0.05</v>
      </c>
      <c r="AG92" s="6">
        <v>32.590000000000003</v>
      </c>
      <c r="AH92" s="6">
        <v>216</v>
      </c>
      <c r="AI92" s="6">
        <v>12</v>
      </c>
      <c r="AJ92" s="22"/>
    </row>
    <row r="93" spans="1:36" x14ac:dyDescent="0.25">
      <c r="A93" s="47"/>
      <c r="B93" s="19">
        <v>80056</v>
      </c>
      <c r="C93" s="56">
        <v>1128</v>
      </c>
      <c r="D93" s="14">
        <f t="shared" si="14"/>
        <v>3700.7875199999999</v>
      </c>
      <c r="E93" s="13" t="s">
        <v>31</v>
      </c>
      <c r="F93" s="24" t="s">
        <v>32</v>
      </c>
      <c r="G93" s="19" t="s">
        <v>53</v>
      </c>
      <c r="H93" s="46" t="s">
        <v>76</v>
      </c>
      <c r="I93" s="50" t="s">
        <v>73</v>
      </c>
      <c r="J93" s="45">
        <v>0.82</v>
      </c>
      <c r="K93" s="97" t="s">
        <v>73</v>
      </c>
      <c r="L93" s="97" t="s">
        <v>73</v>
      </c>
      <c r="M93" s="97" t="s">
        <v>73</v>
      </c>
      <c r="N93" s="97" t="s">
        <v>73</v>
      </c>
      <c r="O93" s="97" t="s">
        <v>73</v>
      </c>
      <c r="P93" s="97" t="s">
        <v>73</v>
      </c>
      <c r="Q93" s="97" t="s">
        <v>73</v>
      </c>
      <c r="R93" s="97" t="s">
        <v>73</v>
      </c>
      <c r="S93" s="97" t="s">
        <v>73</v>
      </c>
      <c r="T93" s="97" t="s">
        <v>73</v>
      </c>
      <c r="U93" s="97" t="s">
        <v>73</v>
      </c>
      <c r="V93" s="97" t="s">
        <v>73</v>
      </c>
      <c r="W93" s="45"/>
      <c r="X93" s="46"/>
      <c r="Y93" s="46"/>
      <c r="Z93" s="46"/>
      <c r="AA93" s="46"/>
      <c r="AB93" s="46"/>
      <c r="AC93" s="46"/>
      <c r="AD93" s="46"/>
      <c r="AE93" s="6">
        <v>438</v>
      </c>
      <c r="AF93" s="6">
        <v>0.22</v>
      </c>
      <c r="AG93" s="6">
        <v>3.29</v>
      </c>
      <c r="AH93" s="6">
        <v>137</v>
      </c>
      <c r="AI93" s="6">
        <v>29</v>
      </c>
      <c r="AJ93" s="22"/>
    </row>
    <row r="94" spans="1:36" x14ac:dyDescent="0.25">
      <c r="A94" s="39"/>
      <c r="B94" s="19">
        <v>80055</v>
      </c>
      <c r="C94" s="56">
        <v>1174</v>
      </c>
      <c r="D94" s="14">
        <f t="shared" si="14"/>
        <v>3851.7061600000002</v>
      </c>
      <c r="E94" s="13" t="s">
        <v>31</v>
      </c>
      <c r="F94" s="24" t="s">
        <v>32</v>
      </c>
      <c r="G94" s="19" t="s">
        <v>53</v>
      </c>
      <c r="H94" s="46" t="s">
        <v>76</v>
      </c>
      <c r="I94" s="50" t="s">
        <v>73</v>
      </c>
      <c r="J94" s="45">
        <v>0.85</v>
      </c>
      <c r="K94" s="97" t="s">
        <v>73</v>
      </c>
      <c r="L94" s="97" t="s">
        <v>73</v>
      </c>
      <c r="M94" s="97" t="s">
        <v>73</v>
      </c>
      <c r="N94" s="97" t="s">
        <v>73</v>
      </c>
      <c r="O94" s="97" t="s">
        <v>73</v>
      </c>
      <c r="P94" s="97" t="s">
        <v>73</v>
      </c>
      <c r="Q94" s="97" t="s">
        <v>73</v>
      </c>
      <c r="R94" s="97" t="s">
        <v>73</v>
      </c>
      <c r="S94" s="97" t="s">
        <v>73</v>
      </c>
      <c r="T94" s="97" t="s">
        <v>73</v>
      </c>
      <c r="U94" s="97" t="s">
        <v>73</v>
      </c>
      <c r="V94" s="97" t="s">
        <v>73</v>
      </c>
      <c r="W94" s="45"/>
      <c r="X94" s="46"/>
      <c r="Y94" s="46"/>
      <c r="Z94" s="46"/>
      <c r="AA94" s="46"/>
      <c r="AB94" s="46"/>
      <c r="AC94" s="46"/>
      <c r="AD94" s="46"/>
      <c r="AE94" s="6">
        <v>445</v>
      </c>
      <c r="AF94" s="16">
        <v>0.2</v>
      </c>
      <c r="AG94" s="6">
        <v>0.94</v>
      </c>
      <c r="AH94" s="6">
        <v>179</v>
      </c>
      <c r="AI94" s="6">
        <v>26</v>
      </c>
      <c r="AJ94" s="22"/>
    </row>
    <row r="95" spans="1:36" x14ac:dyDescent="0.25">
      <c r="A95" s="39"/>
      <c r="B95" s="12">
        <v>80054</v>
      </c>
      <c r="C95" s="6">
        <v>1201</v>
      </c>
      <c r="D95" s="14">
        <f t="shared" si="14"/>
        <v>3940.2888400000002</v>
      </c>
      <c r="E95" s="13" t="s">
        <v>31</v>
      </c>
      <c r="F95" s="24" t="s">
        <v>32</v>
      </c>
      <c r="G95" s="19" t="s">
        <v>53</v>
      </c>
      <c r="H95" s="46" t="s">
        <v>62</v>
      </c>
      <c r="I95" s="50" t="s">
        <v>73</v>
      </c>
      <c r="J95" s="52">
        <v>0.76</v>
      </c>
      <c r="K95" s="41">
        <v>77.650000000000006</v>
      </c>
      <c r="L95" s="17">
        <v>4.0058251987940494</v>
      </c>
      <c r="M95" s="42">
        <v>426.42700000000002</v>
      </c>
      <c r="N95" s="19">
        <v>35.682953243876668</v>
      </c>
      <c r="O95" s="43">
        <v>0.62</v>
      </c>
      <c r="P95" s="17">
        <v>3.1617413051987037E-2</v>
      </c>
      <c r="Q95" s="44">
        <v>233</v>
      </c>
      <c r="R95" s="18">
        <v>6.428218690398106</v>
      </c>
      <c r="S95" s="30">
        <f>85.7830385291*EXP(-0.058254813*K95)</f>
        <v>0.93084274230686559</v>
      </c>
      <c r="T95" s="17">
        <f t="shared" si="9"/>
        <v>1.3639325194000005</v>
      </c>
      <c r="U95" s="17">
        <f t="shared" si="10"/>
        <v>1.4545038125762724</v>
      </c>
      <c r="V95" s="17">
        <f t="shared" si="11"/>
        <v>1.0495789486999989</v>
      </c>
      <c r="W95" s="41"/>
      <c r="X95" s="41"/>
      <c r="Y95" s="41"/>
      <c r="Z95" s="41"/>
      <c r="AA95" s="41"/>
      <c r="AB95" s="41"/>
      <c r="AC95" s="41"/>
      <c r="AD95" s="41"/>
      <c r="AE95" s="6">
        <v>445</v>
      </c>
      <c r="AF95" s="6">
        <v>0.25</v>
      </c>
      <c r="AG95" s="6">
        <v>0.79</v>
      </c>
      <c r="AH95" s="6">
        <v>154</v>
      </c>
      <c r="AI95" s="6">
        <v>66</v>
      </c>
      <c r="AJ95" s="22"/>
    </row>
    <row r="96" spans="1:36" x14ac:dyDescent="0.25">
      <c r="D96" s="14"/>
      <c r="L96" s="16"/>
      <c r="N96" s="19"/>
      <c r="S96" s="30"/>
      <c r="T96" s="17"/>
      <c r="U96" s="17"/>
      <c r="V96" s="17"/>
    </row>
    <row r="97" spans="1:36" ht="30" x14ac:dyDescent="0.25">
      <c r="A97" s="61" t="s">
        <v>77</v>
      </c>
      <c r="B97" s="62">
        <v>4471</v>
      </c>
      <c r="C97" s="63"/>
      <c r="D97" s="64"/>
      <c r="E97" s="65" t="s">
        <v>78</v>
      </c>
      <c r="F97" s="65" t="s">
        <v>32</v>
      </c>
      <c r="G97" s="66" t="s">
        <v>53</v>
      </c>
      <c r="H97" s="63"/>
      <c r="I97" s="63"/>
      <c r="J97" s="67">
        <v>0.66</v>
      </c>
      <c r="K97" s="68">
        <v>83.376724904761858</v>
      </c>
      <c r="L97" s="69">
        <v>3.1521626367723701</v>
      </c>
      <c r="M97" s="70">
        <v>483.40540605643798</v>
      </c>
      <c r="N97" s="66">
        <v>42.14</v>
      </c>
      <c r="O97" s="71">
        <v>0.64</v>
      </c>
      <c r="P97" s="71">
        <v>5.8000000000000003E-2</v>
      </c>
      <c r="Q97" s="70">
        <v>231.44</v>
      </c>
      <c r="R97" s="70">
        <v>3.64</v>
      </c>
      <c r="S97" s="72">
        <f>85.7830385291*EXP(-0.058254813*K97)</f>
        <v>0.66679393950672228</v>
      </c>
      <c r="T97" s="69">
        <f t="shared" si="9"/>
        <v>-0.14085009102871027</v>
      </c>
      <c r="U97" s="69">
        <f t="shared" si="10"/>
        <v>1.1530974009856962</v>
      </c>
      <c r="V97" s="69">
        <f t="shared" si="11"/>
        <v>0.83753505731599986</v>
      </c>
      <c r="W97" s="71"/>
      <c r="X97" s="71"/>
      <c r="Y97" s="71"/>
      <c r="Z97" s="71"/>
      <c r="AA97" s="71"/>
      <c r="AB97" s="71"/>
      <c r="AC97" s="71"/>
      <c r="AD97" s="71"/>
      <c r="AE97" s="73"/>
      <c r="AF97" s="73"/>
      <c r="AG97" s="73"/>
      <c r="AH97" s="73"/>
      <c r="AI97" s="73"/>
      <c r="AJ97" s="74"/>
    </row>
    <row r="98" spans="1:36" x14ac:dyDescent="0.25">
      <c r="B98" s="6" t="s">
        <v>79</v>
      </c>
      <c r="D98" s="19"/>
      <c r="L98" s="16"/>
      <c r="S98" s="30"/>
      <c r="T98" s="17"/>
      <c r="U98" s="17"/>
      <c r="V98" s="17"/>
    </row>
    <row r="99" spans="1:36" ht="21" x14ac:dyDescent="0.25">
      <c r="A99" s="75" t="s">
        <v>80</v>
      </c>
      <c r="B99" s="5"/>
      <c r="C99" s="5"/>
      <c r="D99" s="76"/>
      <c r="E99" s="5"/>
      <c r="F99" s="5"/>
      <c r="G99" s="5"/>
      <c r="H99" s="5"/>
      <c r="I99" s="5"/>
      <c r="J99" s="5"/>
      <c r="K99" s="5"/>
      <c r="L99" s="77"/>
      <c r="M99" s="5"/>
      <c r="N99" s="5"/>
      <c r="O99" s="5"/>
      <c r="P99" s="5"/>
      <c r="Q99" s="5"/>
      <c r="R99" s="5"/>
      <c r="S99" s="20"/>
      <c r="T99" s="21"/>
      <c r="U99" s="21"/>
      <c r="V99" s="21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ht="21" x14ac:dyDescent="0.25">
      <c r="A100" s="78" t="s">
        <v>81</v>
      </c>
      <c r="D100" s="19"/>
      <c r="L100" s="16"/>
      <c r="S100" s="79" t="s">
        <v>143</v>
      </c>
      <c r="T100" s="17"/>
      <c r="U100" s="17"/>
      <c r="V100" s="17"/>
    </row>
    <row r="101" spans="1:36" x14ac:dyDescent="0.25">
      <c r="A101" s="80" t="s">
        <v>82</v>
      </c>
      <c r="D101" s="19"/>
      <c r="E101" s="13" t="s">
        <v>78</v>
      </c>
      <c r="F101" s="24" t="s">
        <v>32</v>
      </c>
      <c r="G101" s="6" t="s">
        <v>83</v>
      </c>
      <c r="H101" s="6" t="s">
        <v>84</v>
      </c>
      <c r="I101" s="6" t="s">
        <v>85</v>
      </c>
      <c r="J101" s="6">
        <v>0.54</v>
      </c>
      <c r="K101" s="6">
        <v>85.26</v>
      </c>
      <c r="L101" s="16">
        <v>2.33</v>
      </c>
      <c r="M101" s="19">
        <v>478.51675999999998</v>
      </c>
      <c r="N101" s="19">
        <v>83.031999999999996</v>
      </c>
      <c r="O101" s="16">
        <v>0.63</v>
      </c>
      <c r="P101" s="16">
        <v>0.03</v>
      </c>
      <c r="Q101" s="19">
        <v>224.76</v>
      </c>
      <c r="R101" s="19">
        <v>21.74</v>
      </c>
      <c r="S101" s="81">
        <f>31.05769*EXP(-0.0412*K101)</f>
        <v>0.92601434117294723</v>
      </c>
      <c r="T101" s="81">
        <f>448.40817*EXP(-0.01321*M101)</f>
        <v>0.80613626440399089</v>
      </c>
      <c r="U101" s="82">
        <f>7899.20967*EXP(-15.00801*O101)</f>
        <v>0.61845656973002427</v>
      </c>
      <c r="V101" s="81">
        <f>0.09432*Q101-20.46853</f>
        <v>0.73083319999999929</v>
      </c>
      <c r="AE101" s="6">
        <v>422</v>
      </c>
      <c r="AF101" s="6">
        <v>0.04</v>
      </c>
      <c r="AG101" s="6">
        <v>5</v>
      </c>
      <c r="AH101" s="6">
        <v>620</v>
      </c>
      <c r="AI101" s="6">
        <v>14</v>
      </c>
    </row>
    <row r="102" spans="1:36" x14ac:dyDescent="0.25">
      <c r="A102" s="6" t="s">
        <v>86</v>
      </c>
      <c r="D102" s="19"/>
      <c r="E102" s="13"/>
      <c r="L102" s="16"/>
      <c r="M102" s="16"/>
      <c r="N102" s="19"/>
      <c r="O102" s="16"/>
      <c r="P102" s="16"/>
      <c r="Q102" s="19"/>
      <c r="R102" s="19"/>
      <c r="S102" s="81"/>
      <c r="T102" s="81"/>
      <c r="U102" s="82"/>
      <c r="V102" s="81"/>
    </row>
    <row r="103" spans="1:36" x14ac:dyDescent="0.25">
      <c r="D103" s="19"/>
      <c r="L103" s="16"/>
      <c r="M103" s="19"/>
      <c r="N103" s="19"/>
      <c r="O103" s="16"/>
      <c r="P103" s="83"/>
      <c r="Q103" s="19"/>
      <c r="R103" s="19"/>
      <c r="S103" s="81"/>
      <c r="T103" s="81"/>
      <c r="U103" s="82"/>
      <c r="V103" s="81"/>
    </row>
    <row r="104" spans="1:36" x14ac:dyDescent="0.25">
      <c r="A104" s="80" t="s">
        <v>87</v>
      </c>
      <c r="D104" s="19"/>
      <c r="E104" s="13" t="s">
        <v>78</v>
      </c>
      <c r="F104" s="24" t="s">
        <v>32</v>
      </c>
      <c r="G104" s="6" t="s">
        <v>88</v>
      </c>
      <c r="H104" s="6" t="s">
        <v>89</v>
      </c>
      <c r="I104" s="6" t="s">
        <v>90</v>
      </c>
      <c r="J104" s="6">
        <v>0.4</v>
      </c>
      <c r="K104" s="6">
        <v>101.2</v>
      </c>
      <c r="L104" s="16">
        <v>7.45</v>
      </c>
      <c r="M104" s="19">
        <v>508.44099999999997</v>
      </c>
      <c r="N104" s="19">
        <v>51.426000000000002</v>
      </c>
      <c r="O104" s="16">
        <v>0.72</v>
      </c>
      <c r="P104" s="16">
        <v>7.0000000000000007E-2</v>
      </c>
      <c r="Q104" s="19">
        <v>201.41</v>
      </c>
      <c r="R104" s="19">
        <v>5.77</v>
      </c>
      <c r="S104" s="81">
        <f>31.05769*EXP(-0.0412*K104)</f>
        <v>0.48018033043456354</v>
      </c>
      <c r="T104" s="81">
        <f t="shared" ref="T104:T116" si="15">448.40817*EXP(-0.01321*M104)</f>
        <v>0.54291543999246739</v>
      </c>
      <c r="U104" s="82">
        <f t="shared" ref="U104:U116" si="16">7899.20967*EXP(-15.00801*O104)</f>
        <v>0.16021330292372093</v>
      </c>
      <c r="V104" s="81">
        <f t="shared" ref="V104:V116" si="17">0.09432*Q104-20.46853</f>
        <v>-1.4715388000000011</v>
      </c>
      <c r="AE104" s="6">
        <v>427</v>
      </c>
      <c r="AF104" s="6">
        <v>0.03</v>
      </c>
      <c r="AG104" s="6">
        <v>8</v>
      </c>
      <c r="AH104" s="6">
        <v>550</v>
      </c>
      <c r="AI104" s="6">
        <v>7.8</v>
      </c>
    </row>
    <row r="105" spans="1:36" x14ac:dyDescent="0.25">
      <c r="A105" s="6" t="s">
        <v>91</v>
      </c>
      <c r="D105" s="19"/>
      <c r="E105" s="13"/>
      <c r="L105" s="16"/>
      <c r="M105" s="19"/>
      <c r="N105" s="19"/>
      <c r="O105" s="16"/>
      <c r="P105" s="16"/>
      <c r="Q105" s="19"/>
      <c r="R105" s="19"/>
      <c r="S105" s="81"/>
      <c r="T105" s="81"/>
      <c r="U105" s="82"/>
      <c r="V105" s="81"/>
    </row>
    <row r="106" spans="1:36" x14ac:dyDescent="0.25">
      <c r="D106" s="19"/>
      <c r="L106" s="16"/>
      <c r="M106" s="19"/>
      <c r="N106" s="19"/>
      <c r="O106" s="16"/>
      <c r="P106" s="16"/>
      <c r="Q106" s="19"/>
      <c r="R106" s="19"/>
      <c r="S106" s="81"/>
      <c r="T106" s="81"/>
      <c r="U106" s="82"/>
      <c r="V106" s="81"/>
    </row>
    <row r="107" spans="1:36" x14ac:dyDescent="0.25">
      <c r="A107" s="80" t="s">
        <v>92</v>
      </c>
      <c r="D107" s="19"/>
      <c r="E107" s="13" t="s">
        <v>78</v>
      </c>
      <c r="F107" s="24" t="s">
        <v>32</v>
      </c>
      <c r="G107" s="6" t="s">
        <v>93</v>
      </c>
      <c r="H107" s="6" t="s">
        <v>43</v>
      </c>
      <c r="I107" s="6" t="s">
        <v>94</v>
      </c>
      <c r="J107" s="6">
        <v>0.73</v>
      </c>
      <c r="K107" s="6">
        <v>82.83</v>
      </c>
      <c r="L107" s="16">
        <v>3.87</v>
      </c>
      <c r="M107" s="19">
        <v>513.60699999999997</v>
      </c>
      <c r="N107" s="19">
        <v>31.745000000000001</v>
      </c>
      <c r="O107" s="16">
        <v>0.68</v>
      </c>
      <c r="P107" s="16">
        <v>0.04</v>
      </c>
      <c r="Q107" s="19">
        <v>221.96</v>
      </c>
      <c r="R107" s="19">
        <v>22.9</v>
      </c>
      <c r="S107" s="81">
        <f>31.05769*EXP(-0.0412*K107)</f>
        <v>1.023522841348923</v>
      </c>
      <c r="T107" s="81">
        <f t="shared" si="15"/>
        <v>0.50710126651028387</v>
      </c>
      <c r="U107" s="82">
        <f t="shared" si="16"/>
        <v>0.29202121994155289</v>
      </c>
      <c r="V107" s="81">
        <f t="shared" si="17"/>
        <v>0.46673720000000074</v>
      </c>
      <c r="AE107" s="6">
        <v>436</v>
      </c>
      <c r="AF107" s="6">
        <v>0.19</v>
      </c>
      <c r="AG107" s="6">
        <v>6.8</v>
      </c>
      <c r="AH107" s="6">
        <v>300</v>
      </c>
      <c r="AI107" s="6">
        <v>2.7</v>
      </c>
    </row>
    <row r="108" spans="1:36" x14ac:dyDescent="0.25">
      <c r="A108" s="6" t="s">
        <v>95</v>
      </c>
      <c r="D108" s="19"/>
      <c r="E108" s="13"/>
      <c r="L108" s="16"/>
      <c r="M108" s="19"/>
      <c r="N108" s="19"/>
      <c r="O108" s="16"/>
      <c r="P108" s="16"/>
      <c r="Q108" s="19"/>
      <c r="R108" s="19"/>
      <c r="S108" s="81"/>
      <c r="T108" s="81"/>
      <c r="U108" s="82"/>
      <c r="V108" s="81"/>
    </row>
    <row r="109" spans="1:36" x14ac:dyDescent="0.25">
      <c r="D109" s="19"/>
      <c r="L109" s="16"/>
      <c r="M109" s="19"/>
      <c r="N109" s="19"/>
      <c r="O109" s="16"/>
      <c r="P109" s="16"/>
      <c r="Q109" s="19"/>
      <c r="R109" s="19"/>
      <c r="S109" s="81"/>
      <c r="T109" s="81"/>
      <c r="U109" s="82"/>
      <c r="V109" s="81"/>
    </row>
    <row r="110" spans="1:36" x14ac:dyDescent="0.25">
      <c r="A110" s="80" t="s">
        <v>96</v>
      </c>
      <c r="D110" s="19"/>
      <c r="E110" s="13" t="s">
        <v>78</v>
      </c>
      <c r="F110" s="24" t="s">
        <v>32</v>
      </c>
      <c r="G110" s="6" t="s">
        <v>97</v>
      </c>
      <c r="H110" s="6" t="s">
        <v>84</v>
      </c>
      <c r="I110" s="6" t="s">
        <v>98</v>
      </c>
      <c r="J110" s="6">
        <v>0.99</v>
      </c>
      <c r="K110" s="6">
        <v>75.88</v>
      </c>
      <c r="L110" s="16">
        <v>6.65</v>
      </c>
      <c r="M110" s="19">
        <v>529.69100000000003</v>
      </c>
      <c r="N110" s="19">
        <v>51.453000000000003</v>
      </c>
      <c r="O110" s="16">
        <v>0.7</v>
      </c>
      <c r="P110" s="16">
        <v>7.0000000000000007E-2</v>
      </c>
      <c r="Q110" s="19">
        <v>239.32</v>
      </c>
      <c r="R110" s="19">
        <v>24.2</v>
      </c>
      <c r="S110" s="81">
        <f>31.05769*EXP(-0.0412*K110)</f>
        <v>1.3628668278546352</v>
      </c>
      <c r="T110" s="81">
        <f t="shared" si="15"/>
        <v>0.41003440891224996</v>
      </c>
      <c r="U110" s="82">
        <f t="shared" si="16"/>
        <v>0.21629998652485077</v>
      </c>
      <c r="V110" s="81">
        <f t="shared" si="17"/>
        <v>2.1041323999999975</v>
      </c>
      <c r="AE110" s="6">
        <v>455</v>
      </c>
      <c r="AF110" s="6">
        <v>0.32</v>
      </c>
      <c r="AG110" s="6">
        <v>2.5</v>
      </c>
      <c r="AH110" s="6">
        <v>180</v>
      </c>
      <c r="AI110" s="6">
        <v>8.4</v>
      </c>
    </row>
    <row r="111" spans="1:36" x14ac:dyDescent="0.25">
      <c r="A111" s="6" t="s">
        <v>99</v>
      </c>
      <c r="D111" s="19"/>
      <c r="E111" s="13"/>
      <c r="L111" s="16"/>
      <c r="M111" s="19"/>
      <c r="N111" s="19"/>
      <c r="O111" s="16"/>
      <c r="P111" s="16"/>
      <c r="Q111" s="19"/>
      <c r="R111" s="19"/>
      <c r="S111" s="81"/>
      <c r="T111" s="81"/>
      <c r="U111" s="82"/>
      <c r="V111" s="81"/>
    </row>
    <row r="112" spans="1:36" x14ac:dyDescent="0.25">
      <c r="D112" s="19"/>
      <c r="L112" s="16"/>
      <c r="M112" s="19"/>
      <c r="N112" s="19"/>
      <c r="O112" s="16"/>
      <c r="P112" s="16"/>
      <c r="Q112" s="19"/>
      <c r="R112" s="19"/>
      <c r="S112" s="81"/>
      <c r="T112" s="81"/>
      <c r="U112" s="82"/>
      <c r="V112" s="81"/>
    </row>
    <row r="113" spans="1:35" x14ac:dyDescent="0.25">
      <c r="A113" s="80" t="s">
        <v>100</v>
      </c>
      <c r="D113" s="19"/>
      <c r="E113" s="13" t="s">
        <v>78</v>
      </c>
      <c r="F113" s="24" t="s">
        <v>32</v>
      </c>
      <c r="G113" s="6" t="s">
        <v>101</v>
      </c>
      <c r="H113" s="6" t="s">
        <v>102</v>
      </c>
      <c r="I113" s="6" t="s">
        <v>103</v>
      </c>
      <c r="J113" s="6">
        <v>0.83</v>
      </c>
      <c r="K113" s="6">
        <v>89.62</v>
      </c>
      <c r="L113" s="16">
        <v>11.51</v>
      </c>
      <c r="M113" s="19">
        <v>504.27499999999998</v>
      </c>
      <c r="N113" s="19">
        <v>72.751999999999995</v>
      </c>
      <c r="O113" s="16">
        <v>0.65</v>
      </c>
      <c r="P113" s="16">
        <v>7.1999999999999995E-2</v>
      </c>
      <c r="Q113" s="19">
        <v>255.68</v>
      </c>
      <c r="R113" s="19">
        <v>21.5</v>
      </c>
      <c r="S113" s="81">
        <f>31.05769*EXP(-0.0412*K113)</f>
        <v>0.77375688466875536</v>
      </c>
      <c r="T113" s="81">
        <f t="shared" si="15"/>
        <v>0.57363106189345747</v>
      </c>
      <c r="U113" s="82">
        <f t="shared" si="16"/>
        <v>0.45809050357910219</v>
      </c>
      <c r="V113" s="81">
        <f t="shared" si="17"/>
        <v>3.647207599999998</v>
      </c>
    </row>
    <row r="114" spans="1:35" x14ac:dyDescent="0.25">
      <c r="A114" s="6" t="s">
        <v>144</v>
      </c>
      <c r="D114" s="19"/>
      <c r="E114" s="13"/>
      <c r="L114" s="16"/>
      <c r="M114" s="19"/>
      <c r="N114" s="19"/>
      <c r="O114" s="16"/>
      <c r="P114" s="16"/>
      <c r="Q114" s="19"/>
      <c r="R114" s="19"/>
      <c r="S114" s="81"/>
      <c r="T114" s="81"/>
      <c r="U114" s="82"/>
      <c r="V114" s="81"/>
    </row>
    <row r="115" spans="1:35" x14ac:dyDescent="0.25">
      <c r="D115" s="19"/>
      <c r="L115" s="16"/>
      <c r="M115" s="19"/>
      <c r="N115" s="19"/>
      <c r="O115" s="16"/>
      <c r="P115" s="16"/>
      <c r="Q115" s="19"/>
      <c r="R115" s="19"/>
      <c r="S115" s="81"/>
      <c r="T115" s="81"/>
      <c r="U115" s="82"/>
      <c r="V115" s="81"/>
    </row>
    <row r="116" spans="1:35" x14ac:dyDescent="0.25">
      <c r="A116" s="84" t="s">
        <v>104</v>
      </c>
      <c r="D116" s="19"/>
      <c r="E116" s="13" t="s">
        <v>78</v>
      </c>
      <c r="F116" s="24" t="s">
        <v>32</v>
      </c>
      <c r="G116" s="6" t="s">
        <v>101</v>
      </c>
      <c r="H116" s="6" t="s">
        <v>105</v>
      </c>
      <c r="I116" s="6" t="s">
        <v>106</v>
      </c>
      <c r="J116" s="6" t="s">
        <v>73</v>
      </c>
      <c r="K116" s="6">
        <v>82.58</v>
      </c>
      <c r="L116" s="16">
        <v>7.7</v>
      </c>
      <c r="M116" s="19">
        <v>488.55700000000002</v>
      </c>
      <c r="N116" s="19">
        <v>43.1</v>
      </c>
      <c r="O116" s="16">
        <v>0.67</v>
      </c>
      <c r="P116" s="16">
        <v>0.06</v>
      </c>
      <c r="Q116" s="19">
        <v>232.94</v>
      </c>
      <c r="R116" s="19">
        <v>15.5</v>
      </c>
      <c r="S116" s="81">
        <f>31.05769*EXP(-0.0412*K116)</f>
        <v>1.0341196062700944</v>
      </c>
      <c r="T116" s="81">
        <f t="shared" si="15"/>
        <v>0.7060042239117208</v>
      </c>
      <c r="U116" s="82">
        <f t="shared" si="16"/>
        <v>0.33930743036808519</v>
      </c>
      <c r="V116" s="81">
        <f t="shared" si="17"/>
        <v>1.5023707999999978</v>
      </c>
    </row>
    <row r="117" spans="1:35" x14ac:dyDescent="0.25">
      <c r="A117" s="98" t="s">
        <v>145</v>
      </c>
      <c r="D117" s="19"/>
      <c r="E117" s="13"/>
      <c r="L117" s="16"/>
      <c r="M117" s="19"/>
      <c r="N117" s="19"/>
      <c r="O117" s="16"/>
      <c r="P117" s="16"/>
      <c r="Q117" s="19"/>
      <c r="R117" s="19"/>
      <c r="S117" s="30"/>
      <c r="T117" s="17"/>
      <c r="U117" s="17"/>
      <c r="V117" s="17"/>
    </row>
    <row r="118" spans="1:35" x14ac:dyDescent="0.25">
      <c r="A118" s="98"/>
      <c r="D118" s="19"/>
      <c r="E118" s="13"/>
      <c r="L118" s="16"/>
      <c r="M118" s="19"/>
      <c r="N118" s="19"/>
      <c r="O118" s="16"/>
      <c r="P118" s="16"/>
      <c r="Q118" s="19"/>
      <c r="R118" s="19"/>
      <c r="S118" s="30"/>
      <c r="T118" s="17"/>
      <c r="U118" s="17"/>
      <c r="V118" s="17"/>
    </row>
    <row r="119" spans="1:35" ht="21" x14ac:dyDescent="0.25">
      <c r="A119" s="78" t="s">
        <v>107</v>
      </c>
      <c r="D119" s="19"/>
      <c r="E119" s="13"/>
      <c r="L119" s="16"/>
      <c r="M119" s="19"/>
      <c r="N119" s="19"/>
      <c r="O119" s="16"/>
      <c r="P119" s="16"/>
      <c r="Q119" s="19"/>
      <c r="R119" s="19"/>
      <c r="S119" s="79" t="s">
        <v>142</v>
      </c>
      <c r="T119" s="17"/>
      <c r="U119" s="17"/>
      <c r="V119" s="17"/>
    </row>
    <row r="120" spans="1:35" x14ac:dyDescent="0.25">
      <c r="A120" s="80" t="s">
        <v>82</v>
      </c>
      <c r="D120" s="19"/>
      <c r="E120" s="13" t="s">
        <v>78</v>
      </c>
      <c r="F120" s="6" t="s">
        <v>108</v>
      </c>
      <c r="G120" s="6" t="s">
        <v>83</v>
      </c>
      <c r="H120" s="6" t="s">
        <v>84</v>
      </c>
      <c r="I120" s="6" t="s">
        <v>85</v>
      </c>
      <c r="J120" s="6">
        <v>0.54</v>
      </c>
      <c r="K120" s="6">
        <v>76.05</v>
      </c>
      <c r="L120" s="16">
        <v>2.87</v>
      </c>
      <c r="M120" s="19">
        <f>366.713*1.25</f>
        <v>458.39125000000001</v>
      </c>
      <c r="N120" s="19">
        <v>8.9979999999999993</v>
      </c>
      <c r="O120" s="16">
        <v>0.68</v>
      </c>
      <c r="P120" s="16">
        <v>0.02</v>
      </c>
      <c r="Q120" s="19">
        <v>250.17</v>
      </c>
      <c r="R120" s="19">
        <v>2.14</v>
      </c>
      <c r="S120" s="81">
        <f>22.138*EXP(-0.03881*K120)</f>
        <v>1.1569590900732165</v>
      </c>
      <c r="T120" s="81">
        <f>245.09105*EXP(-0.01237*M120)</f>
        <v>0.84478764716250221</v>
      </c>
      <c r="U120" s="82">
        <f>43441.89092*EXP(-17.5771*O120)</f>
        <v>0.27992081570180433</v>
      </c>
      <c r="V120" s="82">
        <f>0.05349*Q120 - 11.37781</f>
        <v>2.0037833000000003</v>
      </c>
      <c r="AE120" s="6">
        <v>422</v>
      </c>
      <c r="AF120" s="6">
        <v>0.04</v>
      </c>
      <c r="AG120" s="6">
        <v>5</v>
      </c>
      <c r="AH120" s="6">
        <v>620</v>
      </c>
      <c r="AI120" s="6">
        <v>14</v>
      </c>
    </row>
    <row r="121" spans="1:35" x14ac:dyDescent="0.25">
      <c r="A121" s="6" t="s">
        <v>86</v>
      </c>
      <c r="D121" s="19"/>
      <c r="S121" s="85"/>
      <c r="T121" s="85"/>
      <c r="U121" s="85"/>
      <c r="V121" s="85"/>
    </row>
    <row r="122" spans="1:35" x14ac:dyDescent="0.25">
      <c r="D122" s="19"/>
      <c r="L122" s="16"/>
      <c r="M122" s="19"/>
      <c r="N122" s="19"/>
      <c r="O122" s="16"/>
      <c r="P122" s="83"/>
      <c r="Q122" s="19"/>
      <c r="R122" s="19"/>
      <c r="S122" s="81"/>
      <c r="T122" s="82"/>
      <c r="U122" s="82"/>
      <c r="V122" s="82"/>
    </row>
    <row r="123" spans="1:35" x14ac:dyDescent="0.25">
      <c r="A123" s="80" t="s">
        <v>87</v>
      </c>
      <c r="D123" s="19"/>
      <c r="E123" s="13" t="s">
        <v>78</v>
      </c>
      <c r="F123" s="6" t="s">
        <v>108</v>
      </c>
      <c r="G123" s="6" t="s">
        <v>88</v>
      </c>
      <c r="H123" s="6" t="s">
        <v>89</v>
      </c>
      <c r="I123" s="6" t="s">
        <v>90</v>
      </c>
      <c r="J123" s="6">
        <v>0.4</v>
      </c>
      <c r="K123" s="6">
        <v>94.69</v>
      </c>
      <c r="L123" s="16">
        <v>14.55</v>
      </c>
      <c r="M123" s="19">
        <f>378.734*1.25</f>
        <v>473.41749999999996</v>
      </c>
      <c r="N123" s="19">
        <v>23.87</v>
      </c>
      <c r="O123" s="16">
        <v>0.66</v>
      </c>
      <c r="P123" s="16">
        <v>0.03</v>
      </c>
      <c r="Q123" s="19">
        <v>231.59</v>
      </c>
      <c r="R123" s="19">
        <v>17.23</v>
      </c>
      <c r="S123" s="81">
        <f>22.138*EXP(-0.03881*K123)</f>
        <v>0.56123065342246137</v>
      </c>
      <c r="T123" s="81">
        <f>245.09105*EXP(-0.01237*M123)</f>
        <v>0.70149275957463419</v>
      </c>
      <c r="U123" s="82">
        <f>43441.89092*EXP(-17.5771*O123)</f>
        <v>0.39783954157003587</v>
      </c>
      <c r="V123" s="82">
        <f>0.05349*Q123 - 11.37781</f>
        <v>1.0099391000000004</v>
      </c>
      <c r="AE123" s="6">
        <v>427</v>
      </c>
      <c r="AF123" s="6">
        <v>0.03</v>
      </c>
      <c r="AG123" s="6">
        <v>8</v>
      </c>
      <c r="AH123" s="6">
        <v>550</v>
      </c>
      <c r="AI123" s="6">
        <v>7.8</v>
      </c>
    </row>
    <row r="124" spans="1:35" x14ac:dyDescent="0.25">
      <c r="A124" s="6" t="s">
        <v>91</v>
      </c>
      <c r="D124" s="19"/>
      <c r="S124" s="85"/>
      <c r="T124" s="85"/>
      <c r="U124" s="85"/>
      <c r="V124" s="85"/>
    </row>
    <row r="125" spans="1:35" x14ac:dyDescent="0.25">
      <c r="D125" s="19"/>
      <c r="L125" s="16"/>
      <c r="M125" s="19"/>
      <c r="N125" s="19"/>
      <c r="O125" s="16"/>
      <c r="P125" s="16"/>
      <c r="Q125" s="19"/>
      <c r="R125" s="19"/>
      <c r="S125" s="81"/>
      <c r="T125" s="82"/>
      <c r="U125" s="82"/>
      <c r="V125" s="82"/>
    </row>
    <row r="126" spans="1:35" x14ac:dyDescent="0.25">
      <c r="A126" s="80" t="s">
        <v>92</v>
      </c>
      <c r="D126" s="19"/>
      <c r="E126" s="13" t="s">
        <v>78</v>
      </c>
      <c r="F126" s="6" t="s">
        <v>108</v>
      </c>
      <c r="G126" s="6" t="s">
        <v>93</v>
      </c>
      <c r="H126" s="6" t="s">
        <v>43</v>
      </c>
      <c r="I126" s="6" t="s">
        <v>94</v>
      </c>
      <c r="J126" s="6">
        <v>0.73</v>
      </c>
      <c r="K126" s="6">
        <v>69.61</v>
      </c>
      <c r="L126" s="16">
        <v>3.96</v>
      </c>
      <c r="M126" s="19">
        <f>337.712*1.25</f>
        <v>422.14</v>
      </c>
      <c r="N126" s="19">
        <v>19.042000000000002</v>
      </c>
      <c r="O126" s="16">
        <v>0.63</v>
      </c>
      <c r="P126" s="16">
        <v>0.03</v>
      </c>
      <c r="Q126" s="19">
        <v>248.02</v>
      </c>
      <c r="R126" s="19">
        <v>3.964</v>
      </c>
      <c r="S126" s="81">
        <f>22.138*EXP(-0.03881*K126)</f>
        <v>1.4854703988001707</v>
      </c>
      <c r="T126" s="81">
        <f>245.09105*EXP(-0.01237*M126)</f>
        <v>1.3228096194815218</v>
      </c>
      <c r="U126" s="82">
        <f>43441.89092*EXP(-17.5771*O126)</f>
        <v>0.67408873874738895</v>
      </c>
      <c r="V126" s="82">
        <f>0.05349*Q126 - 11.37781</f>
        <v>1.8887798000000018</v>
      </c>
      <c r="AE126" s="6">
        <v>436</v>
      </c>
      <c r="AF126" s="6">
        <v>0.19</v>
      </c>
      <c r="AG126" s="6">
        <v>6.8</v>
      </c>
      <c r="AH126" s="6">
        <v>300</v>
      </c>
      <c r="AI126" s="6">
        <v>2.7</v>
      </c>
    </row>
    <row r="127" spans="1:35" x14ac:dyDescent="0.25">
      <c r="A127" s="6" t="s">
        <v>95</v>
      </c>
      <c r="D127" s="19"/>
      <c r="S127" s="85"/>
      <c r="T127" s="85"/>
      <c r="U127" s="85"/>
      <c r="V127" s="85"/>
    </row>
    <row r="128" spans="1:35" x14ac:dyDescent="0.25">
      <c r="D128" s="19"/>
      <c r="L128" s="16"/>
      <c r="M128" s="19"/>
      <c r="N128" s="19"/>
      <c r="O128" s="16"/>
      <c r="P128" s="16"/>
      <c r="Q128" s="19"/>
      <c r="R128" s="19"/>
      <c r="S128" s="81"/>
      <c r="T128" s="82"/>
      <c r="U128" s="82"/>
      <c r="V128" s="82"/>
    </row>
    <row r="129" spans="1:36" x14ac:dyDescent="0.25">
      <c r="A129" s="80" t="s">
        <v>96</v>
      </c>
      <c r="D129" s="19"/>
      <c r="E129" s="13" t="s">
        <v>78</v>
      </c>
      <c r="F129" s="6" t="s">
        <v>108</v>
      </c>
      <c r="G129" s="6" t="s">
        <v>97</v>
      </c>
      <c r="H129" s="6" t="s">
        <v>84</v>
      </c>
      <c r="I129" s="6" t="s">
        <v>98</v>
      </c>
      <c r="J129" s="6">
        <v>0.99</v>
      </c>
      <c r="K129" s="6">
        <v>62.27</v>
      </c>
      <c r="L129" s="16">
        <v>2.0699999999999998</v>
      </c>
      <c r="M129" s="19">
        <f>316.67*1.25</f>
        <v>395.83750000000003</v>
      </c>
      <c r="N129" s="19">
        <v>10.193</v>
      </c>
      <c r="O129" s="16">
        <v>0.6</v>
      </c>
      <c r="P129" s="16">
        <v>0.02</v>
      </c>
      <c r="Q129" s="19">
        <v>254.84</v>
      </c>
      <c r="R129" s="19">
        <v>5.26</v>
      </c>
      <c r="S129" s="81">
        <f>22.138*EXP(-0.03881*K129)</f>
        <v>1.9750562697570118</v>
      </c>
      <c r="T129" s="81">
        <f>245.09105*EXP(-0.01237*M129)</f>
        <v>1.8314717876498012</v>
      </c>
      <c r="U129" s="82">
        <f>43441.89092*EXP(-17.5771*O129)</f>
        <v>1.1421580316346065</v>
      </c>
      <c r="V129" s="82">
        <f>0.05349*Q129 - 11.37781</f>
        <v>2.2535816000000004</v>
      </c>
      <c r="AE129" s="6">
        <v>455</v>
      </c>
      <c r="AF129" s="6">
        <v>0.32</v>
      </c>
      <c r="AG129" s="6">
        <v>2.5</v>
      </c>
      <c r="AH129" s="6">
        <v>180</v>
      </c>
      <c r="AI129" s="6">
        <v>8.4</v>
      </c>
    </row>
    <row r="130" spans="1:36" x14ac:dyDescent="0.25">
      <c r="A130" s="6" t="s">
        <v>99</v>
      </c>
      <c r="D130" s="19"/>
      <c r="S130" s="85"/>
      <c r="T130" s="85"/>
      <c r="U130" s="85"/>
      <c r="V130" s="85"/>
    </row>
    <row r="131" spans="1:36" x14ac:dyDescent="0.25">
      <c r="D131" s="19"/>
      <c r="L131" s="16"/>
      <c r="M131" s="19"/>
      <c r="N131" s="19"/>
      <c r="O131" s="16"/>
      <c r="P131" s="16"/>
      <c r="Q131" s="19"/>
      <c r="R131" s="19"/>
      <c r="S131" s="81"/>
      <c r="T131" s="82"/>
      <c r="U131" s="82"/>
      <c r="V131" s="82"/>
      <c r="X131" s="6" t="s">
        <v>79</v>
      </c>
    </row>
    <row r="132" spans="1:36" x14ac:dyDescent="0.25">
      <c r="A132" s="80" t="s">
        <v>100</v>
      </c>
      <c r="D132" s="19"/>
      <c r="E132" s="13" t="s">
        <v>78</v>
      </c>
      <c r="F132" s="6" t="s">
        <v>108</v>
      </c>
      <c r="G132" s="6" t="s">
        <v>101</v>
      </c>
      <c r="H132" s="6" t="s">
        <v>102</v>
      </c>
      <c r="I132" s="6" t="s">
        <v>103</v>
      </c>
      <c r="J132" s="6">
        <v>0.83</v>
      </c>
      <c r="K132" s="6" t="s">
        <v>73</v>
      </c>
      <c r="L132" s="6" t="s">
        <v>73</v>
      </c>
      <c r="M132" s="6" t="s">
        <v>73</v>
      </c>
      <c r="N132" s="6" t="s">
        <v>73</v>
      </c>
      <c r="O132" s="6" t="s">
        <v>73</v>
      </c>
      <c r="P132" s="6" t="s">
        <v>73</v>
      </c>
      <c r="Q132" s="6" t="s">
        <v>73</v>
      </c>
      <c r="R132" s="6" t="s">
        <v>73</v>
      </c>
      <c r="S132" s="6" t="s">
        <v>73</v>
      </c>
      <c r="T132" s="6" t="s">
        <v>73</v>
      </c>
      <c r="U132" s="6" t="s">
        <v>73</v>
      </c>
      <c r="V132" s="6" t="s">
        <v>73</v>
      </c>
    </row>
    <row r="133" spans="1:36" x14ac:dyDescent="0.25">
      <c r="A133" s="6" t="s">
        <v>144</v>
      </c>
      <c r="D133" s="19"/>
      <c r="S133" s="85"/>
      <c r="T133" s="85"/>
      <c r="U133" s="85"/>
      <c r="V133" s="82"/>
    </row>
    <row r="134" spans="1:36" x14ac:dyDescent="0.25">
      <c r="D134" s="19"/>
      <c r="L134" s="16"/>
      <c r="M134" s="19"/>
      <c r="N134" s="19"/>
      <c r="O134" s="16"/>
      <c r="P134" s="16"/>
      <c r="Q134" s="19"/>
      <c r="R134" s="19"/>
      <c r="S134" s="85"/>
      <c r="T134" s="85"/>
      <c r="U134" s="85"/>
      <c r="V134" s="82"/>
    </row>
    <row r="135" spans="1:36" x14ac:dyDescent="0.25">
      <c r="A135" s="84" t="s">
        <v>104</v>
      </c>
      <c r="D135" s="19"/>
      <c r="E135" s="13" t="s">
        <v>78</v>
      </c>
      <c r="F135" s="6" t="s">
        <v>108</v>
      </c>
      <c r="G135" s="6" t="s">
        <v>101</v>
      </c>
      <c r="H135" s="6" t="s">
        <v>105</v>
      </c>
      <c r="I135" s="6" t="s">
        <v>106</v>
      </c>
      <c r="J135" s="6" t="s">
        <v>73</v>
      </c>
      <c r="K135" s="6">
        <v>76.17</v>
      </c>
      <c r="L135" s="16">
        <v>6.74</v>
      </c>
      <c r="M135" s="19">
        <f>373.442*1.25</f>
        <v>466.80250000000001</v>
      </c>
      <c r="N135" s="19">
        <v>28.452999999999999</v>
      </c>
      <c r="O135" s="16">
        <v>0.69</v>
      </c>
      <c r="P135" s="16">
        <v>0.06</v>
      </c>
      <c r="Q135" s="19">
        <v>247.46</v>
      </c>
      <c r="R135" s="19">
        <v>12.92</v>
      </c>
      <c r="S135" s="81">
        <f>22.138*EXP(-0.03881*K135)</f>
        <v>1.1515834276826578</v>
      </c>
      <c r="T135" s="81">
        <f>245.09105*EXP(-0.01237*M135)</f>
        <v>0.76130809253216936</v>
      </c>
      <c r="U135" s="82">
        <f>43441.89092*EXP(-17.5771*O135)</f>
        <v>0.23480039309182035</v>
      </c>
      <c r="V135" s="82">
        <f>0.05349*Q135 - 11.37781</f>
        <v>1.8588254000000006</v>
      </c>
    </row>
    <row r="136" spans="1:36" x14ac:dyDescent="0.25">
      <c r="A136" s="99" t="s">
        <v>145</v>
      </c>
      <c r="B136" s="73"/>
      <c r="C136" s="73"/>
      <c r="D136" s="66"/>
      <c r="E136" s="65"/>
      <c r="F136" s="65"/>
      <c r="G136" s="73"/>
      <c r="H136" s="73"/>
      <c r="I136" s="73"/>
      <c r="J136" s="73"/>
      <c r="K136" s="73"/>
      <c r="L136" s="74"/>
      <c r="M136" s="66"/>
      <c r="N136" s="66"/>
      <c r="O136" s="74"/>
      <c r="P136" s="74"/>
      <c r="Q136" s="66"/>
      <c r="R136" s="66"/>
      <c r="S136" s="72"/>
      <c r="T136" s="69"/>
      <c r="U136" s="69"/>
      <c r="V136" s="69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</row>
    <row r="137" spans="1:36" x14ac:dyDescent="0.25">
      <c r="D137" s="19"/>
      <c r="L137" s="16"/>
      <c r="S137" s="30"/>
      <c r="T137" s="17"/>
      <c r="U137" s="17"/>
      <c r="V137" s="17"/>
    </row>
    <row r="138" spans="1:36" ht="21" x14ac:dyDescent="0.25">
      <c r="A138" s="75" t="s">
        <v>109</v>
      </c>
      <c r="B138" s="5"/>
      <c r="C138" s="5"/>
      <c r="D138" s="76"/>
      <c r="E138" s="5"/>
      <c r="F138" s="5"/>
      <c r="G138" s="5"/>
      <c r="H138" s="5"/>
      <c r="I138" s="5"/>
      <c r="J138" s="5"/>
      <c r="K138" s="5"/>
      <c r="L138" s="77"/>
      <c r="M138" s="5"/>
      <c r="N138" s="5"/>
      <c r="O138" s="5"/>
      <c r="P138" s="5"/>
      <c r="Q138" s="5"/>
      <c r="R138" s="5"/>
      <c r="S138" s="86" t="s">
        <v>143</v>
      </c>
      <c r="T138" s="21"/>
      <c r="U138" s="21"/>
      <c r="V138" s="21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2">
      <c r="A139" s="87" t="s">
        <v>110</v>
      </c>
      <c r="C139" s="6">
        <v>2003.6</v>
      </c>
      <c r="D139" s="14">
        <f t="shared" ref="D139:D151" si="18">C139*3.28084</f>
        <v>6573.4910239999999</v>
      </c>
      <c r="E139" s="6" t="s">
        <v>31</v>
      </c>
      <c r="F139" s="24" t="s">
        <v>32</v>
      </c>
      <c r="G139" s="6" t="s">
        <v>111</v>
      </c>
      <c r="H139" s="6" t="s">
        <v>112</v>
      </c>
      <c r="I139" s="6" t="s">
        <v>113</v>
      </c>
      <c r="J139" s="6" t="s">
        <v>73</v>
      </c>
      <c r="K139" s="6">
        <v>88.56</v>
      </c>
      <c r="L139" s="16">
        <v>14.24</v>
      </c>
      <c r="M139" s="19">
        <v>446.649</v>
      </c>
      <c r="N139" s="19">
        <v>37.323</v>
      </c>
      <c r="O139" s="16">
        <v>0.56000000000000005</v>
      </c>
      <c r="P139" s="6">
        <v>4.7E-2</v>
      </c>
      <c r="Q139" s="19">
        <v>220.23</v>
      </c>
      <c r="R139" s="19">
        <v>11.58</v>
      </c>
      <c r="S139" s="81">
        <f>31.05769*EXP(-0.0412*K139)</f>
        <v>0.80829712651013341</v>
      </c>
      <c r="T139" s="81">
        <f t="shared" ref="T139:T142" si="19">448.40817*EXP(-0.01321*M139)</f>
        <v>1.2281029004523867</v>
      </c>
      <c r="U139" s="82">
        <f t="shared" ref="U139:U142" si="20">7899.20967*EXP(-15.00801*O139)</f>
        <v>1.7683243294991369</v>
      </c>
      <c r="V139" s="81">
        <f t="shared" ref="V139:V142" si="21">0.09432*Q139-20.46853</f>
        <v>0.30356359999999682</v>
      </c>
      <c r="AA139" s="96"/>
      <c r="AE139" s="6">
        <v>433</v>
      </c>
      <c r="AG139" s="6">
        <v>9.43</v>
      </c>
    </row>
    <row r="140" spans="1:36" x14ac:dyDescent="0.2">
      <c r="A140" s="6" t="s">
        <v>114</v>
      </c>
      <c r="C140" s="6">
        <v>2005.3</v>
      </c>
      <c r="D140" s="14">
        <f t="shared" si="18"/>
        <v>6579.0684519999995</v>
      </c>
      <c r="E140" s="6" t="s">
        <v>31</v>
      </c>
      <c r="F140" s="24" t="s">
        <v>32</v>
      </c>
      <c r="G140" s="6" t="s">
        <v>111</v>
      </c>
      <c r="H140" s="6" t="s">
        <v>112</v>
      </c>
      <c r="I140" s="6" t="s">
        <v>113</v>
      </c>
      <c r="J140" s="6" t="s">
        <v>73</v>
      </c>
      <c r="K140" s="6">
        <v>89.55</v>
      </c>
      <c r="L140" s="16">
        <v>4.03</v>
      </c>
      <c r="M140" s="19">
        <v>486.21499999999997</v>
      </c>
      <c r="N140" s="19">
        <v>9.5820000000000007</v>
      </c>
      <c r="O140" s="16">
        <v>0.6</v>
      </c>
      <c r="P140" s="6">
        <v>1.7999999999999999E-2</v>
      </c>
      <c r="Q140" s="19">
        <v>233.53</v>
      </c>
      <c r="R140" s="19">
        <v>9.01</v>
      </c>
      <c r="S140" s="81">
        <f>31.05769*EXP(-0.0412*K140)</f>
        <v>0.77599162046421444</v>
      </c>
      <c r="T140" s="81">
        <f t="shared" si="19"/>
        <v>0.72818784251980295</v>
      </c>
      <c r="U140" s="82">
        <f t="shared" si="20"/>
        <v>0.97016607740401328</v>
      </c>
      <c r="V140" s="81">
        <f t="shared" si="21"/>
        <v>1.558019599999998</v>
      </c>
      <c r="AA140" s="96"/>
      <c r="AE140" s="6">
        <v>427</v>
      </c>
      <c r="AG140" s="6">
        <v>13.3</v>
      </c>
    </row>
    <row r="141" spans="1:36" x14ac:dyDescent="0.2">
      <c r="C141" s="6">
        <v>2012.4</v>
      </c>
      <c r="D141" s="14">
        <f t="shared" si="18"/>
        <v>6602.3624159999999</v>
      </c>
      <c r="E141" s="6" t="s">
        <v>31</v>
      </c>
      <c r="F141" s="24" t="s">
        <v>32</v>
      </c>
      <c r="G141" s="6" t="s">
        <v>111</v>
      </c>
      <c r="H141" s="6" t="s">
        <v>112</v>
      </c>
      <c r="I141" s="6" t="s">
        <v>113</v>
      </c>
      <c r="J141" s="6" t="s">
        <v>73</v>
      </c>
      <c r="K141" s="6">
        <v>90.05</v>
      </c>
      <c r="L141" s="16">
        <v>7.96</v>
      </c>
      <c r="M141" s="19">
        <v>492.92399999999998</v>
      </c>
      <c r="N141" s="19">
        <v>19.452999999999999</v>
      </c>
      <c r="O141" s="16">
        <v>0.63</v>
      </c>
      <c r="P141" s="6">
        <v>2.8000000000000001E-2</v>
      </c>
      <c r="Q141" s="19">
        <v>228.18</v>
      </c>
      <c r="R141" s="19">
        <v>1.4079999999999999</v>
      </c>
      <c r="S141" s="81">
        <f>31.05769*EXP(-0.0412*K141)</f>
        <v>0.76016971818735046</v>
      </c>
      <c r="T141" s="81">
        <f t="shared" si="19"/>
        <v>0.66642869546893768</v>
      </c>
      <c r="U141" s="82">
        <f t="shared" si="20"/>
        <v>0.61845656973002427</v>
      </c>
      <c r="V141" s="81">
        <f t="shared" si="21"/>
        <v>1.0534075999999999</v>
      </c>
      <c r="AA141" s="96"/>
      <c r="AE141" s="6">
        <v>432</v>
      </c>
      <c r="AG141" s="6">
        <v>11.9</v>
      </c>
    </row>
    <row r="142" spans="1:36" x14ac:dyDescent="0.2">
      <c r="C142" s="6">
        <v>2019.95</v>
      </c>
      <c r="D142" s="14">
        <f t="shared" si="18"/>
        <v>6627.1327579999997</v>
      </c>
      <c r="E142" s="6" t="s">
        <v>31</v>
      </c>
      <c r="F142" s="24" t="s">
        <v>32</v>
      </c>
      <c r="G142" s="6" t="s">
        <v>111</v>
      </c>
      <c r="H142" s="6" t="s">
        <v>112</v>
      </c>
      <c r="I142" s="6" t="s">
        <v>113</v>
      </c>
      <c r="J142" s="6" t="s">
        <v>73</v>
      </c>
      <c r="K142" s="6">
        <v>94.15</v>
      </c>
      <c r="L142" s="16">
        <v>3.09</v>
      </c>
      <c r="M142" s="19">
        <v>523.51499999999999</v>
      </c>
      <c r="N142" s="19">
        <v>2.6139999999999999</v>
      </c>
      <c r="O142" s="16">
        <v>0.67</v>
      </c>
      <c r="P142" s="6">
        <v>3.0000000000000001E-3</v>
      </c>
      <c r="Q142" s="19">
        <v>221.45</v>
      </c>
      <c r="R142" s="19">
        <v>15.15</v>
      </c>
      <c r="S142" s="81">
        <f>31.05769*EXP(-0.0412*K142)</f>
        <v>0.64202145475563632</v>
      </c>
      <c r="T142" s="81">
        <f t="shared" si="19"/>
        <v>0.444889546103374</v>
      </c>
      <c r="U142" s="82">
        <f t="shared" si="20"/>
        <v>0.33930743036808519</v>
      </c>
      <c r="V142" s="81">
        <f t="shared" si="21"/>
        <v>0.41863399999999729</v>
      </c>
      <c r="AA142" s="96"/>
      <c r="AE142" s="6">
        <v>434</v>
      </c>
      <c r="AG142" s="6">
        <v>7.59</v>
      </c>
    </row>
    <row r="143" spans="1:36" x14ac:dyDescent="0.2">
      <c r="D143" s="14"/>
      <c r="L143" s="16"/>
      <c r="N143" s="19"/>
      <c r="Q143" s="19"/>
      <c r="R143" s="19"/>
      <c r="S143" s="30"/>
      <c r="T143" s="17"/>
      <c r="U143" s="17"/>
      <c r="V143" s="17"/>
      <c r="AA143" s="96"/>
    </row>
    <row r="144" spans="1:36" x14ac:dyDescent="0.2">
      <c r="A144" s="87" t="s">
        <v>115</v>
      </c>
      <c r="C144" s="6">
        <v>2944.01</v>
      </c>
      <c r="D144" s="14">
        <f t="shared" si="18"/>
        <v>9658.8257684</v>
      </c>
      <c r="E144" s="6" t="s">
        <v>31</v>
      </c>
      <c r="F144" s="24" t="s">
        <v>32</v>
      </c>
      <c r="G144" s="6" t="s">
        <v>116</v>
      </c>
      <c r="H144" s="6" t="s">
        <v>112</v>
      </c>
      <c r="I144" s="6" t="s">
        <v>117</v>
      </c>
      <c r="J144" s="6" t="s">
        <v>73</v>
      </c>
      <c r="K144" s="6">
        <v>73.569999999999993</v>
      </c>
      <c r="L144" s="16">
        <v>1.69</v>
      </c>
      <c r="M144" s="19">
        <v>451.79199999999997</v>
      </c>
      <c r="N144" s="19">
        <v>8.76</v>
      </c>
      <c r="O144" s="16">
        <v>0.63</v>
      </c>
      <c r="P144" s="6">
        <v>2.7E-2</v>
      </c>
      <c r="Q144" s="19">
        <v>250.82</v>
      </c>
      <c r="R144" s="19">
        <v>14.75</v>
      </c>
      <c r="S144" s="81">
        <f>31.05769*EXP(-0.0412*K144)</f>
        <v>1.4989463722128487</v>
      </c>
      <c r="T144" s="81">
        <f t="shared" ref="T144:T146" si="22">448.40817*EXP(-0.01321*M144)</f>
        <v>1.1474379545376192</v>
      </c>
      <c r="U144" s="82">
        <f t="shared" ref="U144:U146" si="23">7899.20967*EXP(-15.00801*O144)</f>
        <v>0.61845656973002427</v>
      </c>
      <c r="V144" s="81">
        <f t="shared" ref="V144:V146" si="24">0.09432*Q144-20.46853</f>
        <v>3.1888123999999998</v>
      </c>
      <c r="AA144" s="96"/>
      <c r="AE144" s="6">
        <v>421</v>
      </c>
      <c r="AG144" s="6">
        <v>8.3000000000000007</v>
      </c>
    </row>
    <row r="145" spans="1:36" x14ac:dyDescent="0.2">
      <c r="A145" s="6" t="s">
        <v>118</v>
      </c>
      <c r="C145" s="6">
        <v>2958.44</v>
      </c>
      <c r="D145" s="14">
        <f t="shared" si="18"/>
        <v>9706.1682896000002</v>
      </c>
      <c r="E145" s="6" t="s">
        <v>31</v>
      </c>
      <c r="F145" s="24" t="s">
        <v>32</v>
      </c>
      <c r="G145" s="6" t="s">
        <v>116</v>
      </c>
      <c r="H145" s="6" t="s">
        <v>112</v>
      </c>
      <c r="I145" s="6" t="s">
        <v>117</v>
      </c>
      <c r="J145" s="52" t="s">
        <v>73</v>
      </c>
      <c r="K145" s="41">
        <v>69.8</v>
      </c>
      <c r="L145" s="41">
        <v>3.48</v>
      </c>
      <c r="M145" s="42">
        <v>429.92899999999997</v>
      </c>
      <c r="N145" s="42">
        <v>12.377000000000001</v>
      </c>
      <c r="O145" s="41">
        <v>0.63</v>
      </c>
      <c r="P145" s="41">
        <v>1.7999999999999999E-2</v>
      </c>
      <c r="Q145" s="42">
        <v>254.87</v>
      </c>
      <c r="R145" s="42">
        <v>7.22</v>
      </c>
      <c r="S145" s="81">
        <f>31.05769*EXP(-0.0412*K145)</f>
        <v>1.7508238398207625</v>
      </c>
      <c r="T145" s="81">
        <f t="shared" si="22"/>
        <v>1.5316442343954542</v>
      </c>
      <c r="U145" s="82">
        <f t="shared" si="23"/>
        <v>0.61845656973002427</v>
      </c>
      <c r="V145" s="81">
        <f t="shared" si="24"/>
        <v>3.5708084000000007</v>
      </c>
      <c r="X145" s="41"/>
      <c r="Y145" s="41"/>
      <c r="Z145" s="41"/>
      <c r="AA145" s="96"/>
      <c r="AB145" s="41"/>
      <c r="AC145" s="41"/>
      <c r="AD145" s="41"/>
      <c r="AE145" s="6">
        <v>425</v>
      </c>
      <c r="AG145" s="6">
        <v>5.93</v>
      </c>
      <c r="AJ145" s="16"/>
    </row>
    <row r="146" spans="1:36" x14ac:dyDescent="0.2">
      <c r="A146" s="16"/>
      <c r="C146" s="6">
        <v>2970.24</v>
      </c>
      <c r="D146" s="14">
        <f t="shared" si="18"/>
        <v>9744.8822015999995</v>
      </c>
      <c r="E146" s="6" t="s">
        <v>31</v>
      </c>
      <c r="F146" s="24" t="s">
        <v>32</v>
      </c>
      <c r="G146" s="6" t="s">
        <v>116</v>
      </c>
      <c r="H146" s="6" t="s">
        <v>112</v>
      </c>
      <c r="I146" s="6" t="s">
        <v>117</v>
      </c>
      <c r="J146" s="6" t="s">
        <v>73</v>
      </c>
      <c r="K146" s="6">
        <v>73.19</v>
      </c>
      <c r="L146" s="16">
        <v>9.06</v>
      </c>
      <c r="M146" s="19">
        <v>448.238</v>
      </c>
      <c r="N146" s="19">
        <v>23.158999999999999</v>
      </c>
      <c r="O146" s="16">
        <v>0.6</v>
      </c>
      <c r="P146" s="6">
        <v>3.6999999999999998E-2</v>
      </c>
      <c r="Q146" s="19">
        <v>246.31</v>
      </c>
      <c r="R146" s="19">
        <v>16.07</v>
      </c>
      <c r="S146" s="81">
        <f>31.05769*EXP(-0.0412*K146)</f>
        <v>1.5225985426927486</v>
      </c>
      <c r="T146" s="81">
        <f t="shared" si="22"/>
        <v>1.2025928466530211</v>
      </c>
      <c r="U146" s="82">
        <f t="shared" si="23"/>
        <v>0.97016607740401328</v>
      </c>
      <c r="V146" s="81">
        <f t="shared" si="24"/>
        <v>2.7634292000000009</v>
      </c>
      <c r="AA146" s="96"/>
      <c r="AE146" s="6">
        <v>421</v>
      </c>
      <c r="AG146" s="6">
        <v>6.61</v>
      </c>
    </row>
    <row r="147" spans="1:36" x14ac:dyDescent="0.2">
      <c r="A147" s="16"/>
      <c r="D147" s="14"/>
      <c r="L147" s="16"/>
      <c r="M147" s="19"/>
      <c r="N147" s="19"/>
      <c r="O147" s="16"/>
      <c r="Q147" s="19"/>
      <c r="R147" s="19"/>
      <c r="S147" s="30"/>
      <c r="T147" s="17"/>
      <c r="U147" s="17"/>
      <c r="V147" s="17"/>
      <c r="AA147" s="96"/>
    </row>
    <row r="148" spans="1:36" x14ac:dyDescent="0.2">
      <c r="A148" s="88" t="s">
        <v>119</v>
      </c>
      <c r="C148" s="6">
        <v>2384.25</v>
      </c>
      <c r="D148" s="14">
        <f t="shared" si="18"/>
        <v>7822.3427700000002</v>
      </c>
      <c r="E148" s="6" t="s">
        <v>31</v>
      </c>
      <c r="F148" s="24" t="s">
        <v>32</v>
      </c>
      <c r="G148" s="6" t="s">
        <v>120</v>
      </c>
      <c r="H148" s="6" t="s">
        <v>121</v>
      </c>
      <c r="I148" s="6" t="s">
        <v>122</v>
      </c>
      <c r="J148" s="6" t="s">
        <v>73</v>
      </c>
      <c r="K148" s="6">
        <v>75.790000000000006</v>
      </c>
      <c r="L148" s="16">
        <v>5.64</v>
      </c>
      <c r="M148" s="19">
        <v>452.81700000000001</v>
      </c>
      <c r="N148" s="19">
        <v>33.276000000000003</v>
      </c>
      <c r="O148" s="16">
        <v>0.6</v>
      </c>
      <c r="P148" s="6">
        <v>0.06</v>
      </c>
      <c r="Q148" s="19">
        <v>242.27</v>
      </c>
      <c r="R148" s="19">
        <v>8.86</v>
      </c>
      <c r="S148" s="81">
        <f>31.05769*EXP(-0.0412*K148)</f>
        <v>1.36792971885131</v>
      </c>
      <c r="T148" s="81">
        <f t="shared" ref="T148:T151" si="25">448.40817*EXP(-0.01321*M148)</f>
        <v>1.13200606933616</v>
      </c>
      <c r="U148" s="82">
        <f t="shared" ref="U148:U151" si="26">7899.20967*EXP(-15.00801*O148)</f>
        <v>0.97016607740401328</v>
      </c>
      <c r="V148" s="81">
        <f t="shared" ref="V148:V151" si="27">0.09432*Q148-20.46853</f>
        <v>2.3823763999999983</v>
      </c>
      <c r="AA148" s="96"/>
      <c r="AE148" s="6">
        <v>414</v>
      </c>
      <c r="AG148" s="6">
        <v>3.05</v>
      </c>
    </row>
    <row r="149" spans="1:36" x14ac:dyDescent="0.2">
      <c r="A149" s="16" t="s">
        <v>123</v>
      </c>
      <c r="C149" s="6">
        <v>2388.8000000000002</v>
      </c>
      <c r="D149" s="14">
        <f t="shared" si="18"/>
        <v>7837.2705920000008</v>
      </c>
      <c r="E149" s="6" t="s">
        <v>31</v>
      </c>
      <c r="F149" s="24" t="s">
        <v>32</v>
      </c>
      <c r="G149" s="6" t="s">
        <v>120</v>
      </c>
      <c r="H149" s="6" t="s">
        <v>121</v>
      </c>
      <c r="I149" s="6" t="s">
        <v>122</v>
      </c>
      <c r="J149" s="6" t="s">
        <v>73</v>
      </c>
      <c r="K149" s="6">
        <v>78.959999999999994</v>
      </c>
      <c r="L149" s="16">
        <v>8.66</v>
      </c>
      <c r="M149" s="19">
        <v>456.06299999999999</v>
      </c>
      <c r="N149" s="19">
        <v>22.623999999999999</v>
      </c>
      <c r="O149" s="16">
        <v>0.6</v>
      </c>
      <c r="P149" s="6">
        <v>3.5999999999999997E-2</v>
      </c>
      <c r="Q149" s="19">
        <v>239.88</v>
      </c>
      <c r="R149" s="19">
        <v>9.2899999999999991</v>
      </c>
      <c r="S149" s="81">
        <f>31.05769*EXP(-0.0412*K149)</f>
        <v>1.2004475466103024</v>
      </c>
      <c r="T149" s="81">
        <f t="shared" si="25"/>
        <v>1.0844920073579449</v>
      </c>
      <c r="U149" s="82">
        <f t="shared" si="26"/>
        <v>0.97016607740401328</v>
      </c>
      <c r="V149" s="81">
        <f t="shared" si="27"/>
        <v>2.1569515999999993</v>
      </c>
      <c r="AA149" s="96"/>
      <c r="AE149" s="6">
        <v>424</v>
      </c>
      <c r="AG149" s="6">
        <v>3.55</v>
      </c>
    </row>
    <row r="150" spans="1:36" x14ac:dyDescent="0.2">
      <c r="C150" s="6">
        <v>2405.0500000000002</v>
      </c>
      <c r="D150" s="14">
        <f t="shared" si="18"/>
        <v>7890.5842420000008</v>
      </c>
      <c r="E150" s="6" t="s">
        <v>31</v>
      </c>
      <c r="F150" s="24" t="s">
        <v>32</v>
      </c>
      <c r="G150" s="6" t="s">
        <v>120</v>
      </c>
      <c r="H150" s="6" t="s">
        <v>121</v>
      </c>
      <c r="I150" s="6" t="s">
        <v>122</v>
      </c>
      <c r="J150" s="6" t="s">
        <v>73</v>
      </c>
      <c r="K150" s="6">
        <v>78.62</v>
      </c>
      <c r="L150" s="16">
        <v>12.84</v>
      </c>
      <c r="M150" s="19">
        <v>457.613</v>
      </c>
      <c r="N150" s="19">
        <v>41.948999999999998</v>
      </c>
      <c r="O150" s="16">
        <v>0.61</v>
      </c>
      <c r="P150" s="6">
        <v>0.05</v>
      </c>
      <c r="Q150" s="19">
        <v>241.22</v>
      </c>
      <c r="R150" s="19">
        <v>16.91</v>
      </c>
      <c r="S150" s="81">
        <f>31.05769*EXP(-0.0412*K150)</f>
        <v>1.2173817460690135</v>
      </c>
      <c r="T150" s="81">
        <f t="shared" si="25"/>
        <v>1.0625122820977131</v>
      </c>
      <c r="U150" s="82">
        <f t="shared" si="26"/>
        <v>0.8349627980798815</v>
      </c>
      <c r="V150" s="81">
        <f t="shared" si="27"/>
        <v>2.2833404000000002</v>
      </c>
      <c r="AA150" s="96"/>
      <c r="AE150" s="6">
        <v>404</v>
      </c>
      <c r="AG150" s="6">
        <v>65.400000000000006</v>
      </c>
    </row>
    <row r="151" spans="1:36" x14ac:dyDescent="0.25">
      <c r="A151" s="73"/>
      <c r="B151" s="73"/>
      <c r="C151" s="73">
        <v>2410.9</v>
      </c>
      <c r="D151" s="64">
        <f t="shared" si="18"/>
        <v>7909.7771560000001</v>
      </c>
      <c r="E151" s="73" t="s">
        <v>31</v>
      </c>
      <c r="F151" s="89" t="s">
        <v>32</v>
      </c>
      <c r="G151" s="73" t="s">
        <v>120</v>
      </c>
      <c r="H151" s="73" t="s">
        <v>121</v>
      </c>
      <c r="I151" s="73" t="s">
        <v>122</v>
      </c>
      <c r="J151" s="73" t="s">
        <v>73</v>
      </c>
      <c r="K151" s="73">
        <v>79.959999999999994</v>
      </c>
      <c r="L151" s="74">
        <v>6.73</v>
      </c>
      <c r="M151" s="66">
        <v>451.53100000000001</v>
      </c>
      <c r="N151" s="66">
        <v>15.103</v>
      </c>
      <c r="O151" s="74">
        <v>0.57999999999999996</v>
      </c>
      <c r="P151" s="73">
        <v>3.5000000000000003E-2</v>
      </c>
      <c r="Q151" s="66">
        <v>235.26</v>
      </c>
      <c r="R151" s="66">
        <v>11.45</v>
      </c>
      <c r="S151" s="90">
        <f>31.05769*EXP(-0.0412*K151)</f>
        <v>1.1519941023490479</v>
      </c>
      <c r="T151" s="90">
        <f t="shared" si="25"/>
        <v>1.1514009304598736</v>
      </c>
      <c r="U151" s="91">
        <f t="shared" si="26"/>
        <v>1.3097970370741654</v>
      </c>
      <c r="V151" s="90">
        <f t="shared" si="27"/>
        <v>1.7211931999999983</v>
      </c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</row>
    <row r="152" spans="1:36" x14ac:dyDescent="0.25">
      <c r="D152" s="19"/>
      <c r="S152" s="30"/>
      <c r="T152" s="17"/>
      <c r="U152" s="17"/>
      <c r="V152" s="17"/>
    </row>
    <row r="153" spans="1:36" ht="21" x14ac:dyDescent="0.25">
      <c r="A153" s="75" t="s">
        <v>124</v>
      </c>
      <c r="B153" s="5"/>
      <c r="C153" s="5"/>
      <c r="D153" s="7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20"/>
      <c r="T153" s="21"/>
      <c r="U153" s="21"/>
      <c r="V153" s="21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2">
      <c r="A154" s="92" t="s">
        <v>125</v>
      </c>
      <c r="C154" s="6">
        <f>D154*0.3048</f>
        <v>3758.1840000000002</v>
      </c>
      <c r="D154" s="14">
        <v>12330</v>
      </c>
      <c r="E154" s="6" t="s">
        <v>31</v>
      </c>
      <c r="F154" s="6" t="s">
        <v>108</v>
      </c>
      <c r="G154" s="6" t="s">
        <v>126</v>
      </c>
      <c r="H154" s="6" t="s">
        <v>112</v>
      </c>
      <c r="I154" s="6" t="s">
        <v>127</v>
      </c>
      <c r="J154" s="6">
        <v>0.67</v>
      </c>
      <c r="K154" s="6">
        <v>75.61</v>
      </c>
      <c r="L154" s="6">
        <v>1.94</v>
      </c>
      <c r="M154" s="6">
        <f>373.031</f>
        <v>373.03100000000001</v>
      </c>
      <c r="N154" s="6">
        <v>15.85</v>
      </c>
      <c r="O154" s="6">
        <v>0.66</v>
      </c>
      <c r="P154" s="6">
        <v>1.9400000000000001E-2</v>
      </c>
      <c r="Q154" s="6">
        <v>254.59</v>
      </c>
      <c r="R154" s="6">
        <v>3.78</v>
      </c>
      <c r="S154" s="81">
        <f>22.138*EXP(-0.03881*K154)</f>
        <v>1.1768854372024122</v>
      </c>
      <c r="T154" s="81">
        <f>245.09105*EXP(-0.01237*M154)</f>
        <v>2.4284089848181698</v>
      </c>
      <c r="U154" s="82">
        <f>43441.89092*EXP(-17.5771*O154)</f>
        <v>0.39783954157003587</v>
      </c>
      <c r="V154" s="82">
        <f>0.05349*Q154 - 11.37781</f>
        <v>2.2402091000000013</v>
      </c>
      <c r="AA154" s="96"/>
      <c r="AE154" s="6">
        <v>430</v>
      </c>
      <c r="AG154" s="6">
        <v>8.1999999999999993</v>
      </c>
      <c r="AH154" s="6">
        <v>244</v>
      </c>
    </row>
    <row r="155" spans="1:36" x14ac:dyDescent="0.2">
      <c r="A155" s="6" t="s">
        <v>128</v>
      </c>
      <c r="C155" s="6">
        <f>D155*0.3048</f>
        <v>3861.8160000000003</v>
      </c>
      <c r="D155" s="14">
        <v>12670</v>
      </c>
      <c r="E155" s="6" t="s">
        <v>31</v>
      </c>
      <c r="F155" s="6" t="s">
        <v>108</v>
      </c>
      <c r="G155" s="6" t="s">
        <v>126</v>
      </c>
      <c r="H155" s="6" t="s">
        <v>112</v>
      </c>
      <c r="I155" s="6" t="s">
        <v>127</v>
      </c>
      <c r="J155" s="6">
        <v>1.05</v>
      </c>
      <c r="K155" s="6">
        <v>74.650000000000006</v>
      </c>
      <c r="L155" s="6">
        <v>4.5999999999999996</v>
      </c>
      <c r="M155" s="6">
        <f>361.091</f>
        <v>361.09100000000001</v>
      </c>
      <c r="N155" s="6">
        <v>14.717000000000001</v>
      </c>
      <c r="O155" s="6">
        <v>0.62</v>
      </c>
      <c r="P155" s="6">
        <v>2.7E-2</v>
      </c>
      <c r="Q155" s="6">
        <v>250.36</v>
      </c>
      <c r="R155" s="6">
        <v>5.94</v>
      </c>
      <c r="S155" s="81">
        <f>22.138*EXP(-0.03881*K155)</f>
        <v>1.2215604379532956</v>
      </c>
      <c r="T155" s="81">
        <f>245.09105*EXP(-0.01237*M155)</f>
        <v>2.8149207379443379</v>
      </c>
      <c r="U155" s="82">
        <f>43441.89092*EXP(-17.5771*O155)</f>
        <v>0.80362501578854173</v>
      </c>
      <c r="V155" s="82">
        <f>0.05349*Q155 - 11.37781</f>
        <v>2.0139464000000018</v>
      </c>
      <c r="AA155" s="96"/>
      <c r="AE155" s="6">
        <v>420</v>
      </c>
      <c r="AG155" s="6">
        <v>7.2</v>
      </c>
      <c r="AH155" s="6">
        <v>143</v>
      </c>
    </row>
    <row r="156" spans="1:36" x14ac:dyDescent="0.2">
      <c r="AA156" s="96"/>
      <c r="AG156" s="6">
        <v>4.8</v>
      </c>
    </row>
    <row r="157" spans="1:36" x14ac:dyDescent="0.2">
      <c r="A157" s="88" t="s">
        <v>129</v>
      </c>
      <c r="C157" s="6">
        <v>3596.64</v>
      </c>
      <c r="D157" s="14">
        <f t="shared" ref="D157:D169" si="28">C157*3.28084</f>
        <v>11800.000377599999</v>
      </c>
      <c r="E157" s="6" t="s">
        <v>31</v>
      </c>
      <c r="F157" s="6" t="s">
        <v>108</v>
      </c>
      <c r="G157" s="6" t="s">
        <v>130</v>
      </c>
      <c r="H157" s="6" t="s">
        <v>112</v>
      </c>
      <c r="I157" s="6" t="s">
        <v>127</v>
      </c>
      <c r="J157" s="6">
        <v>0.56999999999999995</v>
      </c>
      <c r="K157" s="6">
        <v>82.9</v>
      </c>
      <c r="L157" s="6">
        <v>8.9</v>
      </c>
      <c r="M157" s="6">
        <f>351.267</f>
        <v>351.267</v>
      </c>
      <c r="N157" s="6">
        <v>30.61</v>
      </c>
      <c r="O157" s="6">
        <v>0.65</v>
      </c>
      <c r="P157" s="6">
        <v>0.02</v>
      </c>
      <c r="Q157" s="6">
        <v>240.61</v>
      </c>
      <c r="R157" s="6">
        <v>10.4</v>
      </c>
      <c r="S157" s="81">
        <f>22.138*EXP(-0.03881*K157)</f>
        <v>0.88687306664233301</v>
      </c>
      <c r="T157" s="81">
        <f>245.09105*EXP(-0.01237*M157)</f>
        <v>3.1786512899184598</v>
      </c>
      <c r="U157" s="82">
        <f>43441.89092*EXP(-17.5771*O157)</f>
        <v>0.47429038566884696</v>
      </c>
      <c r="V157" s="82">
        <f>0.05349*Q157 - 11.37781</f>
        <v>1.4924189000000005</v>
      </c>
      <c r="AA157" s="96"/>
      <c r="AE157" s="6">
        <v>440</v>
      </c>
      <c r="AG157" s="6">
        <v>3.2</v>
      </c>
      <c r="AH157" s="6">
        <v>216</v>
      </c>
    </row>
    <row r="158" spans="1:36" x14ac:dyDescent="0.2">
      <c r="A158" s="6" t="s">
        <v>131</v>
      </c>
      <c r="C158" s="6">
        <v>3608.83</v>
      </c>
      <c r="D158" s="14">
        <f t="shared" si="28"/>
        <v>11839.9938172</v>
      </c>
      <c r="E158" s="6" t="s">
        <v>31</v>
      </c>
      <c r="F158" s="6" t="s">
        <v>108</v>
      </c>
      <c r="G158" s="6" t="s">
        <v>130</v>
      </c>
      <c r="H158" s="6" t="s">
        <v>112</v>
      </c>
      <c r="I158" s="6" t="s">
        <v>127</v>
      </c>
      <c r="J158" s="6">
        <v>0.36</v>
      </c>
      <c r="K158" s="6">
        <v>82.82</v>
      </c>
      <c r="L158" s="6">
        <v>10.87</v>
      </c>
      <c r="M158" s="6">
        <f>350.519</f>
        <v>350.51900000000001</v>
      </c>
      <c r="N158" s="6">
        <v>36.381999999999998</v>
      </c>
      <c r="O158" s="6">
        <v>0.66</v>
      </c>
      <c r="P158" s="6">
        <v>4.2999999999999997E-2</v>
      </c>
      <c r="Q158" s="6">
        <v>239.87</v>
      </c>
      <c r="R158" s="6">
        <v>13.93</v>
      </c>
      <c r="S158" s="81">
        <f>22.138*EXP(-0.03881*K158)</f>
        <v>0.88963090919901289</v>
      </c>
      <c r="T158" s="81">
        <f>245.09105*EXP(-0.01237*M158)</f>
        <v>3.2081990759065913</v>
      </c>
      <c r="U158" s="82">
        <f>43441.89092*EXP(-17.5771*O158)</f>
        <v>0.39783954157003587</v>
      </c>
      <c r="V158" s="82">
        <f>0.05349*Q158 - 11.37781</f>
        <v>1.4528363000000013</v>
      </c>
      <c r="AA158" s="96"/>
      <c r="AE158" s="6">
        <v>440</v>
      </c>
      <c r="AG158" s="6">
        <v>3.3</v>
      </c>
      <c r="AH158" s="6">
        <v>239</v>
      </c>
    </row>
    <row r="159" spans="1:36" x14ac:dyDescent="0.2">
      <c r="C159" s="6">
        <f>D159*0.3048</f>
        <v>3645.4080000000004</v>
      </c>
      <c r="D159" s="14">
        <v>11960</v>
      </c>
      <c r="E159" s="6" t="s">
        <v>31</v>
      </c>
      <c r="F159" s="6" t="s">
        <v>108</v>
      </c>
      <c r="G159" s="6" t="s">
        <v>130</v>
      </c>
      <c r="H159" s="6" t="s">
        <v>112</v>
      </c>
      <c r="I159" s="6" t="s">
        <v>127</v>
      </c>
      <c r="J159" s="52">
        <v>0.54</v>
      </c>
      <c r="K159" s="41">
        <v>79.75</v>
      </c>
      <c r="L159" s="41">
        <v>11.47</v>
      </c>
      <c r="M159" s="41">
        <f>342.717</f>
        <v>342.71699999999998</v>
      </c>
      <c r="N159" s="41">
        <v>29.347000000000001</v>
      </c>
      <c r="O159" s="41">
        <v>0.63</v>
      </c>
      <c r="P159" s="41">
        <v>3.7999999999999999E-2</v>
      </c>
      <c r="Q159" s="41">
        <v>242.91</v>
      </c>
      <c r="R159" s="41">
        <v>15.06</v>
      </c>
      <c r="S159" s="81">
        <f>22.138*EXP(-0.03881*K159)</f>
        <v>1.0022005065319972</v>
      </c>
      <c r="T159" s="81">
        <f>245.09105*EXP(-0.01237*M159)</f>
        <v>3.5332583275032583</v>
      </c>
      <c r="U159" s="82">
        <f>43441.89092*EXP(-17.5771*O159)</f>
        <v>0.67408873874738895</v>
      </c>
      <c r="V159" s="82">
        <f>0.05349*Q159 - 11.37781</f>
        <v>1.615445900000001</v>
      </c>
      <c r="AA159" s="96"/>
      <c r="AE159" s="6">
        <v>439</v>
      </c>
      <c r="AG159" s="6">
        <v>2.6</v>
      </c>
      <c r="AH159" s="6">
        <v>210</v>
      </c>
    </row>
    <row r="160" spans="1:36" x14ac:dyDescent="0.2">
      <c r="C160" s="6">
        <v>3672.84</v>
      </c>
      <c r="D160" s="14">
        <v>12050</v>
      </c>
      <c r="E160" s="6" t="s">
        <v>31</v>
      </c>
      <c r="F160" s="6" t="s">
        <v>108</v>
      </c>
      <c r="G160" s="6" t="s">
        <v>130</v>
      </c>
      <c r="H160" s="6" t="s">
        <v>112</v>
      </c>
      <c r="I160" s="6" t="s">
        <v>127</v>
      </c>
      <c r="J160" s="52">
        <v>0.64</v>
      </c>
      <c r="K160" s="41">
        <v>81.84</v>
      </c>
      <c r="L160" s="41">
        <v>15.57</v>
      </c>
      <c r="M160" s="41">
        <f>389.127</f>
        <v>389.12700000000001</v>
      </c>
      <c r="N160" s="41">
        <v>47.609000000000002</v>
      </c>
      <c r="O160" s="41">
        <v>0.67</v>
      </c>
      <c r="P160" s="41">
        <v>0.05</v>
      </c>
      <c r="Q160" s="41">
        <v>247.13</v>
      </c>
      <c r="R160" s="41">
        <v>8.01</v>
      </c>
      <c r="S160" s="81">
        <f>22.138*EXP(-0.03881*K160)</f>
        <v>0.92411864580146807</v>
      </c>
      <c r="T160" s="81">
        <f>245.09105*EXP(-0.01237*M160)</f>
        <v>1.9899883494260266</v>
      </c>
      <c r="U160" s="82">
        <f>43441.89092*EXP(-17.5771*O160)</f>
        <v>0.33371180529719974</v>
      </c>
      <c r="V160" s="82">
        <f>0.05349*Q160 - 11.37781</f>
        <v>1.8411737000000006</v>
      </c>
      <c r="X160" s="41"/>
      <c r="Y160" s="41"/>
      <c r="Z160" s="41"/>
      <c r="AA160" s="96"/>
      <c r="AB160" s="41"/>
      <c r="AC160" s="41"/>
      <c r="AD160" s="41"/>
      <c r="AE160" s="6">
        <v>441</v>
      </c>
      <c r="AG160" s="6">
        <v>4.3</v>
      </c>
      <c r="AH160" s="6">
        <v>213</v>
      </c>
      <c r="AJ160" s="16"/>
    </row>
    <row r="161" spans="1:36" x14ac:dyDescent="0.25">
      <c r="D161" s="14"/>
      <c r="S161" s="30"/>
      <c r="T161" s="17"/>
      <c r="U161" s="17"/>
      <c r="V161" s="17"/>
    </row>
    <row r="162" spans="1:36" x14ac:dyDescent="0.2">
      <c r="A162" s="88" t="s">
        <v>132</v>
      </c>
      <c r="C162" s="6">
        <v>3398.52</v>
      </c>
      <c r="D162" s="14">
        <f>C162*3.28084</f>
        <v>11150.000356799999</v>
      </c>
      <c r="E162" s="6" t="s">
        <v>31</v>
      </c>
      <c r="F162" s="6" t="s">
        <v>108</v>
      </c>
      <c r="G162" s="6" t="s">
        <v>133</v>
      </c>
      <c r="H162" s="6" t="s">
        <v>112</v>
      </c>
      <c r="I162" s="93" t="s">
        <v>127</v>
      </c>
      <c r="J162" s="6">
        <v>0.57999999999999996</v>
      </c>
      <c r="K162" s="6">
        <v>77.36</v>
      </c>
      <c r="L162" s="6">
        <v>9.2469999999999999</v>
      </c>
      <c r="M162" s="6">
        <f>348.275</f>
        <v>348.27499999999998</v>
      </c>
      <c r="N162" s="6">
        <v>23.71</v>
      </c>
      <c r="O162" s="6">
        <v>0.61</v>
      </c>
      <c r="P162" s="6">
        <v>1.9E-2</v>
      </c>
      <c r="Q162" s="6">
        <v>244.87</v>
      </c>
      <c r="R162" s="6">
        <v>6.23</v>
      </c>
      <c r="S162" s="81">
        <f>22.138*EXP(-0.03881*K162)</f>
        <v>1.0996082598462875</v>
      </c>
      <c r="T162" s="81">
        <f>245.09105*EXP(-0.01237*M162)</f>
        <v>3.2985006744730256</v>
      </c>
      <c r="U162" s="82">
        <f>43441.89092*EXP(-17.5771*O162)</f>
        <v>0.95805363430518287</v>
      </c>
      <c r="V162" s="82">
        <f>0.05349*Q162 - 11.37781</f>
        <v>1.7202863000000015</v>
      </c>
      <c r="AA162" s="96"/>
      <c r="AE162" s="6">
        <v>438</v>
      </c>
      <c r="AG162" s="6">
        <v>7.7</v>
      </c>
      <c r="AH162" s="6">
        <v>172</v>
      </c>
    </row>
    <row r="163" spans="1:36" x14ac:dyDescent="0.25">
      <c r="A163" s="6" t="s">
        <v>134</v>
      </c>
      <c r="C163" s="6">
        <v>3489.96</v>
      </c>
      <c r="D163" s="14">
        <f>C163*3.28084</f>
        <v>11450.0003664</v>
      </c>
      <c r="E163" s="6" t="s">
        <v>31</v>
      </c>
      <c r="F163" s="6" t="s">
        <v>108</v>
      </c>
      <c r="G163" s="6" t="s">
        <v>133</v>
      </c>
      <c r="H163" s="6" t="s">
        <v>112</v>
      </c>
      <c r="I163" s="93" t="s">
        <v>127</v>
      </c>
      <c r="J163" s="6">
        <v>0.42</v>
      </c>
      <c r="K163" s="16">
        <v>71.89</v>
      </c>
      <c r="L163" s="16">
        <v>2.06</v>
      </c>
      <c r="M163" s="19">
        <f>335.081</f>
        <v>335.08100000000002</v>
      </c>
      <c r="N163" s="19">
        <v>12.587</v>
      </c>
      <c r="O163" s="6">
        <v>0.61</v>
      </c>
      <c r="P163" s="6">
        <v>0.01</v>
      </c>
      <c r="Q163" s="19">
        <v>254.13</v>
      </c>
      <c r="R163" s="19">
        <v>5.23</v>
      </c>
      <c r="S163" s="81">
        <f>22.138*EXP(-0.03881*K163)</f>
        <v>1.3596736245014283</v>
      </c>
      <c r="T163" s="81">
        <f>245.09105*EXP(-0.01237*M163)</f>
        <v>3.8832708619374876</v>
      </c>
      <c r="U163" s="82">
        <f>43441.89092*EXP(-17.5771*O163)</f>
        <v>0.95805363430518287</v>
      </c>
      <c r="V163" s="82">
        <f>0.05349*Q163 - 11.37781</f>
        <v>2.2156037000000008</v>
      </c>
    </row>
    <row r="165" spans="1:36" x14ac:dyDescent="0.25">
      <c r="A165" s="87" t="s">
        <v>135</v>
      </c>
      <c r="C165" s="6">
        <v>5209.03</v>
      </c>
      <c r="D165" s="14">
        <f>C165*3.28084</f>
        <v>17089.993985199999</v>
      </c>
      <c r="E165" s="6" t="s">
        <v>31</v>
      </c>
      <c r="F165" s="6" t="s">
        <v>108</v>
      </c>
      <c r="G165" s="6" t="s">
        <v>136</v>
      </c>
      <c r="H165" s="6" t="s">
        <v>112</v>
      </c>
      <c r="I165" s="6" t="s">
        <v>137</v>
      </c>
      <c r="J165" s="6">
        <v>0.75</v>
      </c>
      <c r="K165" s="6">
        <v>69.28</v>
      </c>
      <c r="L165" s="6">
        <v>4.62</v>
      </c>
      <c r="M165" s="6">
        <f>324.858</f>
        <v>324.858</v>
      </c>
      <c r="N165" s="6">
        <v>52.451999999999998</v>
      </c>
      <c r="O165" s="6">
        <v>0.65</v>
      </c>
      <c r="P165" s="6">
        <v>0.08</v>
      </c>
      <c r="Q165" s="6">
        <v>253.32</v>
      </c>
      <c r="R165" s="6">
        <v>7.94</v>
      </c>
      <c r="S165" s="81">
        <f>22.138*EXP(-0.03881*K165)</f>
        <v>1.5046176141836449</v>
      </c>
      <c r="T165" s="81">
        <f>245.09105*EXP(-0.01237*M165)</f>
        <v>4.4067449667961336</v>
      </c>
      <c r="U165" s="82">
        <f>43441.89092*EXP(-17.5771*O165)</f>
        <v>0.47429038566884696</v>
      </c>
      <c r="V165" s="82">
        <f>0.05349*Q165 - 11.37781</f>
        <v>2.1722768000000006</v>
      </c>
      <c r="AG165" s="6">
        <v>2.5</v>
      </c>
    </row>
    <row r="166" spans="1:36" x14ac:dyDescent="0.25">
      <c r="A166" s="6" t="s">
        <v>138</v>
      </c>
      <c r="C166" s="6">
        <f>D166*0.3048</f>
        <v>5218.1760000000004</v>
      </c>
      <c r="D166" s="14">
        <v>17120</v>
      </c>
      <c r="E166" s="6" t="s">
        <v>31</v>
      </c>
      <c r="F166" s="6" t="s">
        <v>108</v>
      </c>
      <c r="G166" s="6" t="s">
        <v>136</v>
      </c>
      <c r="H166" s="6" t="s">
        <v>112</v>
      </c>
      <c r="I166" s="6" t="s">
        <v>137</v>
      </c>
      <c r="J166" s="6">
        <v>0.75</v>
      </c>
      <c r="K166" s="6">
        <v>64.290000000000006</v>
      </c>
      <c r="L166" s="6">
        <v>4.18</v>
      </c>
      <c r="M166" s="6">
        <f>318.94</f>
        <v>318.94</v>
      </c>
      <c r="N166" s="6">
        <v>30.439</v>
      </c>
      <c r="O166" s="6">
        <v>0.63</v>
      </c>
      <c r="P166" s="6">
        <v>0.05</v>
      </c>
      <c r="Q166" s="6">
        <v>257.82</v>
      </c>
      <c r="R166" s="6">
        <v>2.5499999999999998</v>
      </c>
      <c r="S166" s="81">
        <f>22.138*EXP(-0.03881*K166)</f>
        <v>1.826133132652815</v>
      </c>
      <c r="T166" s="81">
        <f>245.09105*EXP(-0.01237*M166)</f>
        <v>4.7414451545229586</v>
      </c>
      <c r="U166" s="82">
        <f>43441.89092*EXP(-17.5771*O166)</f>
        <v>0.67408873874738895</v>
      </c>
      <c r="V166" s="82">
        <f>0.05349*Q166 - 11.37781</f>
        <v>2.4129818000000007</v>
      </c>
      <c r="Y166" s="16"/>
      <c r="AG166" s="6">
        <v>2.8</v>
      </c>
    </row>
    <row r="167" spans="1:36" x14ac:dyDescent="0.25">
      <c r="C167" s="6">
        <v>5230.37</v>
      </c>
      <c r="D167" s="14">
        <f>C167*3.28084</f>
        <v>17160.007110800001</v>
      </c>
      <c r="E167" s="6" t="s">
        <v>31</v>
      </c>
      <c r="F167" s="6" t="s">
        <v>108</v>
      </c>
      <c r="G167" s="6" t="s">
        <v>136</v>
      </c>
      <c r="H167" s="6" t="s">
        <v>112</v>
      </c>
      <c r="I167" s="6" t="s">
        <v>137</v>
      </c>
      <c r="J167" s="6">
        <v>0.74</v>
      </c>
      <c r="K167" s="6">
        <v>64.260000000000005</v>
      </c>
      <c r="L167" s="6">
        <v>9.3800000000000008</v>
      </c>
      <c r="M167" s="6">
        <f>310.451</f>
        <v>310.45100000000002</v>
      </c>
      <c r="N167" s="6">
        <v>17.306000000000001</v>
      </c>
      <c r="O167" s="6">
        <v>0.6</v>
      </c>
      <c r="P167" s="6">
        <v>0.03</v>
      </c>
      <c r="Q167" s="6">
        <v>255.92</v>
      </c>
      <c r="R167" s="6">
        <v>6.49</v>
      </c>
      <c r="S167" s="81">
        <f>22.138*EXP(-0.03881*K167)</f>
        <v>1.8282605376876788</v>
      </c>
      <c r="T167" s="81">
        <f>245.09105*EXP(-0.01237*M167)</f>
        <v>5.2664204704731103</v>
      </c>
      <c r="U167" s="82">
        <f>43441.89092*EXP(-17.5771*O167)</f>
        <v>1.1421580316346065</v>
      </c>
      <c r="V167" s="82">
        <f>0.05349*Q167 - 11.37781</f>
        <v>2.3113507999999996</v>
      </c>
      <c r="Y167" s="16"/>
      <c r="AG167" s="6">
        <v>2.1</v>
      </c>
    </row>
    <row r="168" spans="1:36" x14ac:dyDescent="0.25">
      <c r="D168" s="14"/>
      <c r="S168" s="30"/>
      <c r="T168" s="17"/>
      <c r="U168" s="17"/>
      <c r="V168" s="17"/>
      <c r="Y168" s="16"/>
    </row>
    <row r="169" spans="1:36" x14ac:dyDescent="0.25">
      <c r="A169" s="87" t="s">
        <v>139</v>
      </c>
      <c r="C169" s="6">
        <v>5211.6499999999996</v>
      </c>
      <c r="D169" s="14">
        <f t="shared" si="28"/>
        <v>17098.589786</v>
      </c>
      <c r="E169" s="6" t="s">
        <v>140</v>
      </c>
      <c r="F169" s="6" t="s">
        <v>108</v>
      </c>
      <c r="G169" s="6" t="s">
        <v>136</v>
      </c>
      <c r="H169" s="6" t="s">
        <v>141</v>
      </c>
      <c r="I169" s="6" t="s">
        <v>137</v>
      </c>
      <c r="J169" s="6">
        <v>0.75</v>
      </c>
      <c r="K169" s="6">
        <v>58.48</v>
      </c>
      <c r="L169" s="6">
        <v>1.74</v>
      </c>
      <c r="M169" s="6">
        <f>305.574</f>
        <v>305.57400000000001</v>
      </c>
      <c r="N169" s="6">
        <v>11.12</v>
      </c>
      <c r="O169" s="6">
        <v>0.6</v>
      </c>
      <c r="P169" s="6">
        <v>0.03</v>
      </c>
      <c r="Q169" s="6">
        <v>261.43</v>
      </c>
      <c r="R169" s="6">
        <v>3.22</v>
      </c>
      <c r="S169" s="81">
        <f>22.138*EXP(-0.03881*K169)</f>
        <v>2.288019941027073</v>
      </c>
      <c r="T169" s="81">
        <f>245.09105*EXP(-0.01237*M169)</f>
        <v>5.5939149683763638</v>
      </c>
      <c r="U169" s="82">
        <f>43441.89092*EXP(-17.5771*O169)</f>
        <v>1.1421580316346065</v>
      </c>
      <c r="V169" s="82">
        <f>0.05349*Q169 - 11.37781</f>
        <v>2.6060807000000015</v>
      </c>
      <c r="Y169" s="16"/>
      <c r="AG169" s="6">
        <v>1.4</v>
      </c>
    </row>
    <row r="170" spans="1:36" x14ac:dyDescent="0.25">
      <c r="A170" s="73" t="s">
        <v>138</v>
      </c>
      <c r="B170" s="73"/>
      <c r="C170" s="73"/>
      <c r="D170" s="64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2"/>
      <c r="T170" s="69"/>
      <c r="U170" s="69"/>
      <c r="V170" s="69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</row>
    <row r="174" spans="1:36" x14ac:dyDescent="0.25">
      <c r="I174" s="14"/>
    </row>
    <row r="175" spans="1:36" x14ac:dyDescent="0.25">
      <c r="I175" s="14"/>
    </row>
    <row r="177" spans="8:15" x14ac:dyDescent="0.25">
      <c r="I177" s="14"/>
    </row>
    <row r="178" spans="8:15" x14ac:dyDescent="0.25">
      <c r="I178" s="14"/>
    </row>
    <row r="179" spans="8:15" x14ac:dyDescent="0.25">
      <c r="I179" s="14"/>
      <c r="J179" s="52"/>
      <c r="M179" s="41"/>
    </row>
    <row r="180" spans="8:15" x14ac:dyDescent="0.25">
      <c r="I180" s="14"/>
      <c r="J180" s="52"/>
      <c r="M180" s="41"/>
    </row>
    <row r="181" spans="8:15" x14ac:dyDescent="0.25">
      <c r="I181" s="14"/>
    </row>
    <row r="182" spans="8:15" x14ac:dyDescent="0.25">
      <c r="I182" s="14"/>
    </row>
    <row r="183" spans="8:15" x14ac:dyDescent="0.25">
      <c r="I183" s="14"/>
      <c r="M183" s="19"/>
    </row>
    <row r="185" spans="8:15" x14ac:dyDescent="0.25">
      <c r="I185" s="14"/>
    </row>
    <row r="186" spans="8:15" x14ac:dyDescent="0.25">
      <c r="H186" s="94"/>
      <c r="I186" s="95"/>
      <c r="J186" s="94"/>
      <c r="K186" s="94"/>
      <c r="L186" s="94"/>
      <c r="M186" s="94"/>
      <c r="N186" s="94"/>
      <c r="O186" s="94"/>
    </row>
    <row r="187" spans="8:15" x14ac:dyDescent="0.25">
      <c r="H187" s="94"/>
      <c r="I187" s="95"/>
      <c r="J187" s="94"/>
      <c r="K187" s="94"/>
      <c r="L187" s="94"/>
      <c r="M187" s="94"/>
      <c r="N187" s="94"/>
      <c r="O187" s="94"/>
    </row>
    <row r="188" spans="8:15" x14ac:dyDescent="0.25">
      <c r="H188" s="94"/>
      <c r="I188" s="95"/>
      <c r="J188" s="94"/>
      <c r="K188" s="94"/>
      <c r="L188" s="94"/>
      <c r="M188" s="94"/>
      <c r="N188" s="94"/>
      <c r="O188" s="94"/>
    </row>
    <row r="189" spans="8:15" x14ac:dyDescent="0.25">
      <c r="H189" s="94"/>
      <c r="I189" s="95"/>
      <c r="J189" s="94"/>
      <c r="K189" s="94"/>
      <c r="L189" s="94"/>
      <c r="M189" s="94"/>
      <c r="N189" s="94"/>
      <c r="O189" s="94"/>
    </row>
    <row r="190" spans="8:15" x14ac:dyDescent="0.25">
      <c r="H190" s="94"/>
      <c r="I190" s="94"/>
      <c r="J190" s="94"/>
      <c r="K190" s="94"/>
      <c r="L190" s="94"/>
      <c r="M190" s="94"/>
      <c r="N190" s="94"/>
      <c r="O190" s="94"/>
    </row>
    <row r="191" spans="8:15" x14ac:dyDescent="0.25">
      <c r="H191" s="94"/>
      <c r="I191" s="94"/>
      <c r="J191" s="94"/>
      <c r="K191" s="94"/>
      <c r="L191" s="94"/>
      <c r="M191" s="94"/>
      <c r="N191" s="94"/>
      <c r="O191" s="94"/>
    </row>
    <row r="192" spans="8:15" x14ac:dyDescent="0.25">
      <c r="H192" s="94"/>
      <c r="I192" s="94"/>
      <c r="J192" s="94"/>
      <c r="K192" s="94"/>
      <c r="L192" s="94"/>
      <c r="M192" s="94"/>
      <c r="N192" s="94"/>
      <c r="O192" s="94"/>
    </row>
    <row r="193" spans="8:15" x14ac:dyDescent="0.25">
      <c r="H193" s="94"/>
      <c r="I193" s="94"/>
      <c r="J193" s="94"/>
      <c r="K193" s="94"/>
      <c r="L193" s="94"/>
      <c r="M193" s="94"/>
      <c r="N193" s="94"/>
      <c r="O193" s="94"/>
    </row>
    <row r="194" spans="8:15" x14ac:dyDescent="0.25">
      <c r="H194" s="94"/>
      <c r="I194" s="94"/>
      <c r="J194" s="94"/>
      <c r="K194" s="94"/>
      <c r="L194" s="94"/>
      <c r="M194" s="94"/>
      <c r="N194" s="94"/>
      <c r="O194" s="94"/>
    </row>
    <row r="195" spans="8:15" x14ac:dyDescent="0.25">
      <c r="H195" s="94"/>
      <c r="I195" s="94"/>
      <c r="J195" s="94"/>
      <c r="K195" s="94"/>
      <c r="L195" s="94"/>
      <c r="M195" s="94"/>
      <c r="N195" s="94"/>
      <c r="O195" s="94"/>
    </row>
  </sheetData>
  <mergeCells count="4">
    <mergeCell ref="A1:A2"/>
    <mergeCell ref="B1:B2"/>
    <mergeCell ref="K1:Q1"/>
    <mergeCell ref="W1:A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Clifford, Katrina M</cp:lastModifiedBy>
  <dcterms:created xsi:type="dcterms:W3CDTF">2019-08-25T12:09:29Z</dcterms:created>
  <dcterms:modified xsi:type="dcterms:W3CDTF">2020-02-07T11:49:23Z</dcterms:modified>
</cp:coreProperties>
</file>